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earch\Mali Research\NSF Emissions\Emissions DATA\Pauls 10-2019\Finals\"/>
    </mc:Choice>
  </mc:AlternateContent>
  <bookViews>
    <workbookView xWindow="0" yWindow="0" windowWidth="7130" windowHeight="6130"/>
  </bookViews>
  <sheets>
    <sheet name="INPUT" sheetId="1" r:id="rId1"/>
  </sheets>
  <definedNames>
    <definedName name="_xlnm._FilterDatabase" localSheetId="0" hidden="1">INPUT!$A$1:$DT$49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44" i="1" l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5" i="1"/>
  <c r="DF23" i="1"/>
  <c r="DF21" i="1"/>
  <c r="DF19" i="1"/>
  <c r="DF18" i="1"/>
  <c r="DF17" i="1"/>
  <c r="DF16" i="1"/>
  <c r="DF15" i="1"/>
  <c r="DF14" i="1"/>
  <c r="DF13" i="1"/>
  <c r="DF12" i="1"/>
  <c r="DF9" i="1"/>
  <c r="DF8" i="1"/>
  <c r="DF7" i="1"/>
  <c r="DF6" i="1"/>
  <c r="DF5" i="1"/>
  <c r="DF4" i="1"/>
  <c r="DF3" i="1"/>
  <c r="DQ12" i="1" l="1"/>
  <c r="DH4" i="1"/>
  <c r="DH5" i="1"/>
  <c r="DH6" i="1"/>
  <c r="DH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" i="1"/>
  <c r="DH36" i="1"/>
  <c r="DH37" i="1"/>
  <c r="DH38" i="1"/>
  <c r="DH39" i="1"/>
  <c r="DH40" i="1"/>
  <c r="DH41" i="1"/>
  <c r="DH42" i="1"/>
  <c r="DH43" i="1"/>
  <c r="DH44" i="1"/>
  <c r="DQ38" i="1"/>
  <c r="DQ39" i="1"/>
  <c r="DQ40" i="1"/>
  <c r="DQ41" i="1"/>
  <c r="DQ42" i="1"/>
  <c r="DQ43" i="1"/>
  <c r="DF20" i="1"/>
  <c r="DF22" i="1"/>
  <c r="DF24" i="1"/>
  <c r="DQ25" i="1"/>
  <c r="DP43" i="1" l="1"/>
  <c r="DP42" i="1"/>
  <c r="DI42" i="1" l="1"/>
  <c r="DI43" i="1"/>
  <c r="DO46" i="1"/>
  <c r="DO47" i="1"/>
  <c r="DO48" i="1"/>
  <c r="DO49" i="1"/>
  <c r="DQ4" i="1"/>
  <c r="DQ5" i="1"/>
  <c r="DP5" i="1" s="1"/>
  <c r="DQ6" i="1"/>
  <c r="DP6" i="1" s="1"/>
  <c r="DQ7" i="1"/>
  <c r="DP7" i="1" s="1"/>
  <c r="DQ8" i="1"/>
  <c r="DP8" i="1" s="1"/>
  <c r="DQ9" i="1"/>
  <c r="DQ13" i="1"/>
  <c r="DQ14" i="1"/>
  <c r="DQ15" i="1"/>
  <c r="DP15" i="1" s="1"/>
  <c r="DQ16" i="1"/>
  <c r="DP16" i="1" s="1"/>
  <c r="DQ17" i="1"/>
  <c r="DQ18" i="1"/>
  <c r="DQ19" i="1"/>
  <c r="DP19" i="1" s="1"/>
  <c r="DQ20" i="1"/>
  <c r="DQ21" i="1"/>
  <c r="DQ22" i="1"/>
  <c r="DQ23" i="1"/>
  <c r="DP23" i="1" s="1"/>
  <c r="DQ24" i="1"/>
  <c r="DQ27" i="1"/>
  <c r="DQ28" i="1"/>
  <c r="DQ29" i="1"/>
  <c r="DP29" i="1" s="1"/>
  <c r="DQ30" i="1"/>
  <c r="DP30" i="1" s="1"/>
  <c r="DQ31" i="1"/>
  <c r="DQ32" i="1"/>
  <c r="DQ33" i="1"/>
  <c r="DQ34" i="1"/>
  <c r="DQ35" i="1"/>
  <c r="DQ36" i="1"/>
  <c r="DP36" i="1" s="1"/>
  <c r="DQ37" i="1"/>
  <c r="DQ44" i="1"/>
  <c r="DS42" i="1" l="1"/>
  <c r="DT42" i="1" s="1"/>
  <c r="DR42" i="1" s="1"/>
  <c r="DP44" i="1"/>
  <c r="DI44" i="1" s="1"/>
  <c r="DP35" i="1"/>
  <c r="DI35" i="1" s="1"/>
  <c r="DS35" i="1" s="1"/>
  <c r="DT35" i="1" s="1"/>
  <c r="DR35" i="1" s="1"/>
  <c r="DP4" i="1"/>
  <c r="DI4" i="1" s="1"/>
  <c r="DS4" i="1" s="1"/>
  <c r="DT4" i="1" s="1"/>
  <c r="DR4" i="1" s="1"/>
  <c r="DI30" i="1"/>
  <c r="DS43" i="1"/>
  <c r="DT43" i="1" s="1"/>
  <c r="DR43" i="1" s="1"/>
  <c r="DI36" i="1"/>
  <c r="DS44" i="1" l="1"/>
  <c r="DT44" i="1" s="1"/>
  <c r="DR44" i="1" s="1"/>
  <c r="DS30" i="1"/>
  <c r="DT30" i="1" s="1"/>
  <c r="DR30" i="1" s="1"/>
  <c r="DS36" i="1"/>
  <c r="DT36" i="1" s="1"/>
  <c r="DR36" i="1" s="1"/>
  <c r="DQ3" i="1"/>
  <c r="DP3" i="1" l="1"/>
  <c r="DI3" i="1" s="1"/>
  <c r="DS3" i="1" s="1"/>
  <c r="DT3" i="1" s="1"/>
  <c r="DR3" i="1" s="1"/>
  <c r="DN9" i="1"/>
  <c r="DP9" i="1" s="1"/>
  <c r="DI9" i="1" s="1"/>
  <c r="DN10" i="1"/>
  <c r="DN11" i="1"/>
  <c r="DN12" i="1"/>
  <c r="DP12" i="1" s="1"/>
  <c r="DI12" i="1" s="1"/>
  <c r="DN13" i="1"/>
  <c r="DP13" i="1" s="1"/>
  <c r="DN14" i="1"/>
  <c r="DP14" i="1" s="1"/>
  <c r="DN17" i="1"/>
  <c r="DP17" i="1" s="1"/>
  <c r="DN18" i="1"/>
  <c r="DP18" i="1" s="1"/>
  <c r="DN20" i="1"/>
  <c r="DP20" i="1" s="1"/>
  <c r="DI20" i="1" s="1"/>
  <c r="DN21" i="1"/>
  <c r="DP21" i="1" s="1"/>
  <c r="DN22" i="1"/>
  <c r="DP22" i="1" s="1"/>
  <c r="DI22" i="1" s="1"/>
  <c r="DN24" i="1"/>
  <c r="DP24" i="1" s="1"/>
  <c r="DI24" i="1" s="1"/>
  <c r="DN25" i="1"/>
  <c r="DP25" i="1" s="1"/>
  <c r="DI25" i="1" s="1"/>
  <c r="DN26" i="1"/>
  <c r="DN27" i="1"/>
  <c r="DP27" i="1" s="1"/>
  <c r="DN28" i="1"/>
  <c r="DP28" i="1" s="1"/>
  <c r="DN31" i="1"/>
  <c r="DP31" i="1" s="1"/>
  <c r="DN32" i="1"/>
  <c r="DP32" i="1" s="1"/>
  <c r="DN33" i="1"/>
  <c r="DP33" i="1" s="1"/>
  <c r="DN34" i="1"/>
  <c r="DP34" i="1" s="1"/>
  <c r="DN37" i="1"/>
  <c r="DP37" i="1" s="1"/>
  <c r="DN38" i="1"/>
  <c r="DP38" i="1" s="1"/>
  <c r="DN39" i="1"/>
  <c r="DP39" i="1" s="1"/>
  <c r="DN40" i="1"/>
  <c r="DP40" i="1" s="1"/>
  <c r="DN41" i="1"/>
  <c r="DP41" i="1" s="1"/>
  <c r="DN45" i="1"/>
  <c r="DN2" i="1"/>
  <c r="DS12" i="1" l="1"/>
  <c r="DT12" i="1" s="1"/>
  <c r="DR12" i="1" s="1"/>
  <c r="DS25" i="1"/>
  <c r="DT25" i="1" s="1"/>
  <c r="DR25" i="1" s="1"/>
  <c r="DI39" i="1"/>
  <c r="DI23" i="1"/>
  <c r="DI15" i="1"/>
  <c r="DI7" i="1"/>
  <c r="DI28" i="1"/>
  <c r="DS28" i="1" s="1"/>
  <c r="DT28" i="1" s="1"/>
  <c r="DR28" i="1" s="1"/>
  <c r="DI27" i="1"/>
  <c r="DS27" i="1" s="1"/>
  <c r="DT27" i="1" s="1"/>
  <c r="DR27" i="1" s="1"/>
  <c r="DI8" i="1"/>
  <c r="DI32" i="1"/>
  <c r="DI31" i="1"/>
  <c r="DS31" i="1" s="1"/>
  <c r="DT31" i="1" s="1"/>
  <c r="DR31" i="1" s="1"/>
  <c r="DI14" i="1"/>
  <c r="DS14" i="1" s="1"/>
  <c r="DT14" i="1" s="1"/>
  <c r="DR14" i="1" s="1"/>
  <c r="DI6" i="1"/>
  <c r="DI38" i="1"/>
  <c r="DS38" i="1" s="1"/>
  <c r="DT38" i="1" s="1"/>
  <c r="DR38" i="1" s="1"/>
  <c r="DI19" i="1"/>
  <c r="DI37" i="1"/>
  <c r="DI18" i="1"/>
  <c r="DS18" i="1" s="1"/>
  <c r="DT18" i="1" s="1"/>
  <c r="DR18" i="1" s="1"/>
  <c r="DI34" i="1"/>
  <c r="DS34" i="1" s="1"/>
  <c r="DT34" i="1" s="1"/>
  <c r="DR34" i="1" s="1"/>
  <c r="DI17" i="1"/>
  <c r="DS17" i="1" s="1"/>
  <c r="DT17" i="1" s="1"/>
  <c r="DR17" i="1" s="1"/>
  <c r="DS9" i="1"/>
  <c r="DT9" i="1" s="1"/>
  <c r="DR9" i="1" s="1"/>
  <c r="DI33" i="1"/>
  <c r="DS33" i="1" s="1"/>
  <c r="DT33" i="1" s="1"/>
  <c r="DR33" i="1" s="1"/>
  <c r="DI16" i="1"/>
  <c r="DI41" i="1"/>
  <c r="DS41" i="1" s="1"/>
  <c r="DT41" i="1" s="1"/>
  <c r="DR41" i="1" s="1"/>
  <c r="DI40" i="1"/>
  <c r="DS40" i="1" s="1"/>
  <c r="DT40" i="1" s="1"/>
  <c r="DR40" i="1" s="1"/>
  <c r="DI29" i="1"/>
  <c r="DI21" i="1"/>
  <c r="DS21" i="1" s="1"/>
  <c r="DT21" i="1" s="1"/>
  <c r="DR21" i="1" s="1"/>
  <c r="DI13" i="1"/>
  <c r="DS13" i="1" s="1"/>
  <c r="DT13" i="1" s="1"/>
  <c r="DR13" i="1" s="1"/>
  <c r="DI5" i="1"/>
  <c r="DS20" i="1"/>
  <c r="DT20" i="1" s="1"/>
  <c r="DR20" i="1" s="1"/>
  <c r="DS24" i="1"/>
  <c r="DT24" i="1" s="1"/>
  <c r="DR24" i="1" s="1"/>
  <c r="DS22" i="1"/>
  <c r="DT22" i="1" s="1"/>
  <c r="DR22" i="1" s="1"/>
  <c r="DS39" i="1" l="1"/>
  <c r="DT39" i="1" s="1"/>
  <c r="DR39" i="1" s="1"/>
  <c r="DS37" i="1"/>
  <c r="DT37" i="1" s="1"/>
  <c r="DR37" i="1" s="1"/>
  <c r="DS23" i="1"/>
  <c r="DT23" i="1" s="1"/>
  <c r="DR23" i="1" s="1"/>
  <c r="DS19" i="1"/>
  <c r="DT19" i="1" s="1"/>
  <c r="DR19" i="1" s="1"/>
  <c r="DS15" i="1"/>
  <c r="DT15" i="1" s="1"/>
  <c r="DR15" i="1" s="1"/>
  <c r="DS29" i="1"/>
  <c r="DT29" i="1" s="1"/>
  <c r="DR29" i="1" s="1"/>
  <c r="DS16" i="1"/>
  <c r="DT16" i="1" s="1"/>
  <c r="DR16" i="1" s="1"/>
  <c r="DS8" i="1"/>
  <c r="DT8" i="1" s="1"/>
  <c r="DR8" i="1" s="1"/>
  <c r="DS7" i="1"/>
  <c r="DT7" i="1" s="1"/>
  <c r="DR7" i="1" s="1"/>
  <c r="DS6" i="1"/>
  <c r="DT6" i="1" s="1"/>
  <c r="DR6" i="1" s="1"/>
  <c r="DS5" i="1"/>
  <c r="DT5" i="1" s="1"/>
  <c r="DR5" i="1" s="1"/>
  <c r="DS32" i="1"/>
  <c r="DT32" i="1" s="1"/>
  <c r="DR32" i="1" s="1"/>
  <c r="DC40" i="1"/>
  <c r="DC36" i="1"/>
  <c r="DC35" i="1"/>
  <c r="DC31" i="1"/>
  <c r="DC4" i="1"/>
  <c r="L2" i="1" l="1"/>
  <c r="L10" i="1" s="1"/>
  <c r="N2" i="1"/>
  <c r="N10" i="1" s="1"/>
  <c r="P2" i="1"/>
  <c r="P24" i="1" s="1"/>
  <c r="P10" i="1" l="1"/>
  <c r="N16" i="1" l="1"/>
  <c r="N8" i="1"/>
  <c r="P12" i="1"/>
  <c r="N30" i="1"/>
  <c r="N17" i="1"/>
  <c r="N33" i="1"/>
  <c r="P41" i="1"/>
  <c r="P36" i="1"/>
  <c r="P33" i="1"/>
  <c r="L7" i="1"/>
  <c r="L13" i="1"/>
  <c r="N13" i="1"/>
  <c r="N7" i="1"/>
  <c r="P5" i="1"/>
  <c r="P13" i="1"/>
  <c r="L37" i="1"/>
  <c r="P20" i="1"/>
  <c r="L14" i="1"/>
  <c r="P19" i="1"/>
  <c r="N41" i="1"/>
  <c r="N38" i="1"/>
  <c r="P44" i="1"/>
  <c r="L35" i="1"/>
  <c r="L3" i="1"/>
  <c r="L31" i="1"/>
  <c r="L9" i="1"/>
  <c r="N34" i="1"/>
  <c r="P37" i="1"/>
  <c r="P16" i="1"/>
  <c r="L27" i="1"/>
  <c r="L4" i="1"/>
  <c r="N25" i="1"/>
  <c r="N4" i="1"/>
  <c r="P29" i="1"/>
  <c r="P7" i="1"/>
  <c r="L30" i="1"/>
  <c r="L45" i="1"/>
  <c r="L43" i="1"/>
  <c r="P28" i="1"/>
  <c r="L5" i="1"/>
  <c r="L22" i="1"/>
  <c r="L39" i="1"/>
  <c r="L21" i="1"/>
  <c r="N24" i="1"/>
  <c r="CM24" i="1" s="1"/>
  <c r="L38" i="1"/>
  <c r="L18" i="1"/>
  <c r="N42" i="1"/>
  <c r="N21" i="1"/>
  <c r="P45" i="1"/>
  <c r="L40" i="1"/>
  <c r="L32" i="1"/>
  <c r="L23" i="1"/>
  <c r="L15" i="1"/>
  <c r="L6" i="1"/>
  <c r="N43" i="1"/>
  <c r="N35" i="1"/>
  <c r="N27" i="1"/>
  <c r="N18" i="1"/>
  <c r="N9" i="1"/>
  <c r="P38" i="1"/>
  <c r="P30" i="1"/>
  <c r="P21" i="1"/>
  <c r="P4" i="1"/>
  <c r="N40" i="1"/>
  <c r="N32" i="1"/>
  <c r="N23" i="1"/>
  <c r="N15" i="1"/>
  <c r="N6" i="1"/>
  <c r="P43" i="1"/>
  <c r="P35" i="1"/>
  <c r="P27" i="1"/>
  <c r="P18" i="1"/>
  <c r="P9" i="1"/>
  <c r="L29" i="1"/>
  <c r="L20" i="1"/>
  <c r="L12" i="1"/>
  <c r="L44" i="1"/>
  <c r="L36" i="1"/>
  <c r="L28" i="1"/>
  <c r="L19" i="1"/>
  <c r="N3" i="1"/>
  <c r="N39" i="1"/>
  <c r="N31" i="1"/>
  <c r="N22" i="1"/>
  <c r="N14" i="1"/>
  <c r="N5" i="1"/>
  <c r="P42" i="1"/>
  <c r="P34" i="1"/>
  <c r="P25" i="1"/>
  <c r="P17" i="1"/>
  <c r="P8" i="1"/>
  <c r="L34" i="1"/>
  <c r="L25" i="1"/>
  <c r="L8" i="1"/>
  <c r="N45" i="1"/>
  <c r="N37" i="1"/>
  <c r="N29" i="1"/>
  <c r="N20" i="1"/>
  <c r="N12" i="1"/>
  <c r="P40" i="1"/>
  <c r="P32" i="1"/>
  <c r="P23" i="1"/>
  <c r="P15" i="1"/>
  <c r="P6" i="1"/>
  <c r="L42" i="1"/>
  <c r="L17" i="1"/>
  <c r="L41" i="1"/>
  <c r="L33" i="1"/>
  <c r="L24" i="1"/>
  <c r="L16" i="1"/>
  <c r="N44" i="1"/>
  <c r="N36" i="1"/>
  <c r="N28" i="1"/>
  <c r="N19" i="1"/>
  <c r="P3" i="1"/>
  <c r="P39" i="1"/>
  <c r="P31" i="1"/>
  <c r="P22" i="1"/>
  <c r="P14" i="1"/>
  <c r="CM6" i="1" l="1"/>
  <c r="CM34" i="1"/>
  <c r="CM15" i="1"/>
  <c r="CM17" i="1"/>
  <c r="CM42" i="1"/>
  <c r="CM27" i="1"/>
  <c r="CM28" i="1"/>
  <c r="CM23" i="1"/>
  <c r="CM32" i="1"/>
  <c r="CM16" i="1"/>
  <c r="CM18" i="1"/>
  <c r="CM4" i="1"/>
  <c r="CM39" i="1"/>
  <c r="CM3" i="1"/>
  <c r="CM8" i="1"/>
  <c r="CM14" i="1"/>
  <c r="CM13" i="1"/>
  <c r="CM41" i="1"/>
  <c r="CM38" i="1"/>
  <c r="CM7" i="1"/>
  <c r="CM19" i="1"/>
  <c r="CM36" i="1"/>
  <c r="CM22" i="1"/>
  <c r="CM35" i="1"/>
  <c r="CM21" i="1"/>
  <c r="CM44" i="1"/>
  <c r="CM5" i="1"/>
  <c r="CM31" i="1"/>
  <c r="CM43" i="1"/>
  <c r="CM30" i="1"/>
  <c r="CM12" i="1"/>
  <c r="CM40" i="1"/>
  <c r="CM37" i="1"/>
  <c r="CM29" i="1"/>
  <c r="CM25" i="1"/>
  <c r="CM9" i="1"/>
  <c r="CM45" i="1"/>
  <c r="CM20" i="1"/>
  <c r="CM33" i="1"/>
  <c r="CN45" i="1"/>
  <c r="CO45" i="1" s="1"/>
  <c r="DK45" i="1" s="1"/>
  <c r="DO45" i="1" s="1"/>
  <c r="S44" i="1"/>
  <c r="DL44" i="1" s="1"/>
  <c r="Q44" i="1"/>
  <c r="T44" i="1"/>
  <c r="DM44" i="1" s="1"/>
  <c r="CN44" i="1"/>
  <c r="R44" i="1"/>
  <c r="Q45" i="1"/>
  <c r="S45" i="1"/>
  <c r="DL45" i="1" s="1"/>
  <c r="R45" i="1"/>
  <c r="T45" i="1"/>
  <c r="DM45" i="1" s="1"/>
  <c r="R24" i="1"/>
  <c r="CN24" i="1"/>
  <c r="CO24" i="1" s="1"/>
  <c r="DK24" i="1" s="1"/>
  <c r="DO24" i="1" s="1"/>
  <c r="S24" i="1"/>
  <c r="DL24" i="1" s="1"/>
  <c r="Q24" i="1"/>
  <c r="T24" i="1"/>
  <c r="DM24" i="1" s="1"/>
  <c r="CN20" i="1"/>
  <c r="CO20" i="1" s="1"/>
  <c r="DK20" i="1" s="1"/>
  <c r="DO20" i="1" s="1"/>
  <c r="CN22" i="1"/>
  <c r="CO22" i="1" s="1"/>
  <c r="DK22" i="1" s="1"/>
  <c r="DO22" i="1" s="1"/>
  <c r="T13" i="1"/>
  <c r="DM13" i="1" s="1"/>
  <c r="T31" i="1"/>
  <c r="DM31" i="1" s="1"/>
  <c r="T6" i="1"/>
  <c r="DM6" i="1" s="1"/>
  <c r="T14" i="1"/>
  <c r="DM14" i="1" s="1"/>
  <c r="R8" i="1"/>
  <c r="S5" i="1"/>
  <c r="DL5" i="1" s="1"/>
  <c r="S12" i="1"/>
  <c r="DL12" i="1" s="1"/>
  <c r="S20" i="1"/>
  <c r="DL20" i="1" s="1"/>
  <c r="T15" i="1"/>
  <c r="DM15" i="1" s="1"/>
  <c r="T42" i="1"/>
  <c r="DM42" i="1" s="1"/>
  <c r="R25" i="1"/>
  <c r="S29" i="1"/>
  <c r="DL29" i="1" s="1"/>
  <c r="R27" i="1"/>
  <c r="T36" i="1"/>
  <c r="DM36" i="1" s="1"/>
  <c r="S37" i="1"/>
  <c r="DL37" i="1" s="1"/>
  <c r="T9" i="1"/>
  <c r="DM9" i="1" s="1"/>
  <c r="S32" i="1"/>
  <c r="DL32" i="1" s="1"/>
  <c r="S18" i="1"/>
  <c r="DL18" i="1" s="1"/>
  <c r="R40" i="1"/>
  <c r="R30" i="1"/>
  <c r="S38" i="1"/>
  <c r="DL38" i="1" s="1"/>
  <c r="R19" i="1"/>
  <c r="T22" i="1"/>
  <c r="DM22" i="1" s="1"/>
  <c r="R16" i="1"/>
  <c r="T23" i="1"/>
  <c r="DM23" i="1" s="1"/>
  <c r="R28" i="1"/>
  <c r="T4" i="1"/>
  <c r="DM4" i="1" s="1"/>
  <c r="T7" i="1"/>
  <c r="DM7" i="1" s="1"/>
  <c r="T35" i="1"/>
  <c r="DM35" i="1" s="1"/>
  <c r="S43" i="1"/>
  <c r="DL43" i="1" s="1"/>
  <c r="T39" i="1"/>
  <c r="DM39" i="1" s="1"/>
  <c r="R33" i="1"/>
  <c r="R34" i="1"/>
  <c r="T21" i="1"/>
  <c r="DM21" i="1" s="1"/>
  <c r="T3" i="1"/>
  <c r="DM3" i="1" s="1"/>
  <c r="T41" i="1"/>
  <c r="DM41" i="1" s="1"/>
  <c r="S17" i="1"/>
  <c r="DL17" i="1" s="1"/>
  <c r="S40" i="1"/>
  <c r="DL40" i="1" s="1"/>
  <c r="T32" i="1"/>
  <c r="DM32" i="1" s="1"/>
  <c r="S14" i="1"/>
  <c r="DL14" i="1" s="1"/>
  <c r="R36" i="1"/>
  <c r="T27" i="1"/>
  <c r="DM27" i="1" s="1"/>
  <c r="S35" i="1"/>
  <c r="DL35" i="1" s="1"/>
  <c r="R21" i="1"/>
  <c r="T37" i="1"/>
  <c r="DM37" i="1" s="1"/>
  <c r="S41" i="1"/>
  <c r="DL41" i="1" s="1"/>
  <c r="S7" i="1"/>
  <c r="DL7" i="1" s="1"/>
  <c r="S33" i="1"/>
  <c r="DL33" i="1" s="1"/>
  <c r="S27" i="1"/>
  <c r="DL27" i="1" s="1"/>
  <c r="T5" i="1"/>
  <c r="DM5" i="1" s="1"/>
  <c r="T40" i="1"/>
  <c r="DM40" i="1" s="1"/>
  <c r="R39" i="1"/>
  <c r="R41" i="1"/>
  <c r="T8" i="1"/>
  <c r="DM8" i="1" s="1"/>
  <c r="S31" i="1"/>
  <c r="DL31" i="1" s="1"/>
  <c r="R12" i="1"/>
  <c r="T43" i="1"/>
  <c r="DM43" i="1" s="1"/>
  <c r="T30" i="1"/>
  <c r="DM30" i="1" s="1"/>
  <c r="R6" i="1"/>
  <c r="S21" i="1"/>
  <c r="DL21" i="1" s="1"/>
  <c r="R22" i="1"/>
  <c r="T29" i="1"/>
  <c r="DM29" i="1" s="1"/>
  <c r="R9" i="1"/>
  <c r="R14" i="1"/>
  <c r="S30" i="1"/>
  <c r="DL30" i="1" s="1"/>
  <c r="S13" i="1"/>
  <c r="DL13" i="1" s="1"/>
  <c r="S19" i="1"/>
  <c r="DL19" i="1" s="1"/>
  <c r="R17" i="1"/>
  <c r="T17" i="1"/>
  <c r="DM17" i="1" s="1"/>
  <c r="S39" i="1"/>
  <c r="DL39" i="1" s="1"/>
  <c r="R20" i="1"/>
  <c r="S6" i="1"/>
  <c r="DL6" i="1" s="1"/>
  <c r="T38" i="1"/>
  <c r="DM38" i="1" s="1"/>
  <c r="R15" i="1"/>
  <c r="S42" i="1"/>
  <c r="DL42" i="1" s="1"/>
  <c r="R5" i="1"/>
  <c r="S4" i="1"/>
  <c r="DL4" i="1" s="1"/>
  <c r="R31" i="1"/>
  <c r="T20" i="1"/>
  <c r="DM20" i="1" s="1"/>
  <c r="R13" i="1"/>
  <c r="T12" i="1"/>
  <c r="DM12" i="1" s="1"/>
  <c r="T18" i="1"/>
  <c r="DM18" i="1" s="1"/>
  <c r="S34" i="1"/>
  <c r="DL34" i="1" s="1"/>
  <c r="S28" i="1"/>
  <c r="DL28" i="1" s="1"/>
  <c r="R42" i="1"/>
  <c r="T25" i="1"/>
  <c r="DM25" i="1" s="1"/>
  <c r="S3" i="1"/>
  <c r="DL3" i="1" s="1"/>
  <c r="R29" i="1"/>
  <c r="S15" i="1"/>
  <c r="DL15" i="1" s="1"/>
  <c r="R23" i="1"/>
  <c r="R18" i="1"/>
  <c r="T28" i="1"/>
  <c r="DM28" i="1" s="1"/>
  <c r="S25" i="1"/>
  <c r="DL25" i="1" s="1"/>
  <c r="R3" i="1"/>
  <c r="R37" i="1"/>
  <c r="R7" i="1"/>
  <c r="S8" i="1"/>
  <c r="DL8" i="1" s="1"/>
  <c r="T16" i="1"/>
  <c r="DM16" i="1" s="1"/>
  <c r="S22" i="1"/>
  <c r="DL22" i="1" s="1"/>
  <c r="T19" i="1"/>
  <c r="DM19" i="1" s="1"/>
  <c r="S36" i="1"/>
  <c r="DL36" i="1" s="1"/>
  <c r="T34" i="1"/>
  <c r="DM34" i="1" s="1"/>
  <c r="S23" i="1"/>
  <c r="DL23" i="1" s="1"/>
  <c r="S9" i="1"/>
  <c r="DL9" i="1" s="1"/>
  <c r="R32" i="1"/>
  <c r="R38" i="1"/>
  <c r="R43" i="1"/>
  <c r="R4" i="1"/>
  <c r="R35" i="1"/>
  <c r="T33" i="1"/>
  <c r="DM33" i="1" s="1"/>
  <c r="S16" i="1"/>
  <c r="DL16" i="1" s="1"/>
  <c r="Q3" i="1"/>
  <c r="Q8" i="1"/>
  <c r="Q43" i="1"/>
  <c r="Q30" i="1"/>
  <c r="Q7" i="1"/>
  <c r="Q19" i="1"/>
  <c r="CN17" i="1"/>
  <c r="Q17" i="1"/>
  <c r="Q38" i="1"/>
  <c r="Q29" i="1"/>
  <c r="Q40" i="1"/>
  <c r="Q37" i="1"/>
  <c r="Q21" i="1"/>
  <c r="Q5" i="1"/>
  <c r="Q39" i="1"/>
  <c r="Q35" i="1"/>
  <c r="Q41" i="1"/>
  <c r="Q25" i="1"/>
  <c r="Q28" i="1"/>
  <c r="Q14" i="1"/>
  <c r="Q15" i="1"/>
  <c r="Q42" i="1"/>
  <c r="Q9" i="1"/>
  <c r="Q12" i="1"/>
  <c r="CN37" i="1"/>
  <c r="Q22" i="1"/>
  <c r="Q23" i="1"/>
  <c r="Q18" i="1"/>
  <c r="CN27" i="1"/>
  <c r="Q33" i="1"/>
  <c r="Q6" i="1"/>
  <c r="Q34" i="1"/>
  <c r="Q20" i="1"/>
  <c r="Q31" i="1"/>
  <c r="Q32" i="1"/>
  <c r="Q27" i="1"/>
  <c r="Q4" i="1"/>
  <c r="Q16" i="1"/>
  <c r="Q13" i="1"/>
  <c r="Q36" i="1"/>
  <c r="CN33" i="1"/>
  <c r="CN16" i="1"/>
  <c r="CN14" i="1"/>
  <c r="CN41" i="1"/>
  <c r="CN31" i="1"/>
  <c r="CN4" i="1"/>
  <c r="CN3" i="1"/>
  <c r="CO3" i="1" s="1"/>
  <c r="DK3" i="1" s="1"/>
  <c r="DO3" i="1" s="1"/>
  <c r="CN35" i="1"/>
  <c r="CN43" i="1"/>
  <c r="CN42" i="1"/>
  <c r="CO42" i="1" s="1"/>
  <c r="DK42" i="1" s="1"/>
  <c r="DO42" i="1" s="1"/>
  <c r="CN39" i="1"/>
  <c r="CN23" i="1"/>
  <c r="CN9" i="1"/>
  <c r="CN25" i="1"/>
  <c r="CO25" i="1" s="1"/>
  <c r="DK25" i="1" s="1"/>
  <c r="DO25" i="1" s="1"/>
  <c r="CN5" i="1"/>
  <c r="CN28" i="1"/>
  <c r="CN18" i="1"/>
  <c r="CN34" i="1"/>
  <c r="CN36" i="1"/>
  <c r="CN7" i="1"/>
  <c r="CN40" i="1"/>
  <c r="CN32" i="1"/>
  <c r="CN12" i="1"/>
  <c r="CO12" i="1" s="1"/>
  <c r="DK12" i="1" s="1"/>
  <c r="DO12" i="1" s="1"/>
  <c r="CN21" i="1"/>
  <c r="CN8" i="1"/>
  <c r="CN29" i="1"/>
  <c r="CN13" i="1"/>
  <c r="CN6" i="1"/>
  <c r="CN38" i="1"/>
  <c r="CN19" i="1"/>
  <c r="CN15" i="1"/>
  <c r="CN30" i="1"/>
  <c r="CO28" i="1" l="1"/>
  <c r="DK28" i="1" s="1"/>
  <c r="DO28" i="1" s="1"/>
  <c r="CO15" i="1"/>
  <c r="DK15" i="1" s="1"/>
  <c r="DO15" i="1" s="1"/>
  <c r="CO5" i="1"/>
  <c r="DK5" i="1" s="1"/>
  <c r="DO5" i="1" s="1"/>
  <c r="CO17" i="1"/>
  <c r="DK17" i="1" s="1"/>
  <c r="DO17" i="1" s="1"/>
  <c r="CO29" i="1"/>
  <c r="DK29" i="1" s="1"/>
  <c r="DO29" i="1" s="1"/>
  <c r="CO33" i="1"/>
  <c r="DK33" i="1" s="1"/>
  <c r="DO33" i="1" s="1"/>
  <c r="CO35" i="1"/>
  <c r="DK35" i="1" s="1"/>
  <c r="DO35" i="1" s="1"/>
  <c r="CO32" i="1"/>
  <c r="DK32" i="1" s="1"/>
  <c r="DO32" i="1" s="1"/>
  <c r="CO40" i="1"/>
  <c r="DK40" i="1" s="1"/>
  <c r="DO40" i="1" s="1"/>
  <c r="CO31" i="1"/>
  <c r="DK31" i="1" s="1"/>
  <c r="DO31" i="1" s="1"/>
  <c r="CO27" i="1"/>
  <c r="DK27" i="1" s="1"/>
  <c r="DO27" i="1" s="1"/>
  <c r="CO44" i="1"/>
  <c r="DK44" i="1" s="1"/>
  <c r="DO44" i="1" s="1"/>
  <c r="CO34" i="1"/>
  <c r="DK34" i="1" s="1"/>
  <c r="DO34" i="1" s="1"/>
  <c r="CO8" i="1"/>
  <c r="DK8" i="1" s="1"/>
  <c r="DO8" i="1" s="1"/>
  <c r="CO43" i="1"/>
  <c r="DK43" i="1" s="1"/>
  <c r="DO43" i="1" s="1"/>
  <c r="CO30" i="1"/>
  <c r="DK30" i="1" s="1"/>
  <c r="DO30" i="1" s="1"/>
  <c r="CO6" i="1"/>
  <c r="DK6" i="1" s="1"/>
  <c r="DO6" i="1" s="1"/>
  <c r="CO41" i="1"/>
  <c r="DK41" i="1" s="1"/>
  <c r="DO41" i="1" s="1"/>
  <c r="CO18" i="1"/>
  <c r="DK18" i="1" s="1"/>
  <c r="DO18" i="1" s="1"/>
  <c r="CO37" i="1"/>
  <c r="DK37" i="1" s="1"/>
  <c r="DO37" i="1" s="1"/>
  <c r="CO21" i="1"/>
  <c r="DK21" i="1" s="1"/>
  <c r="DO21" i="1" s="1"/>
  <c r="CO19" i="1"/>
  <c r="DK19" i="1" s="1"/>
  <c r="DO19" i="1" s="1"/>
  <c r="CO4" i="1"/>
  <c r="DK4" i="1" s="1"/>
  <c r="DO4" i="1" s="1"/>
  <c r="CO38" i="1"/>
  <c r="DK38" i="1" s="1"/>
  <c r="DO38" i="1" s="1"/>
  <c r="CO9" i="1"/>
  <c r="DK9" i="1" s="1"/>
  <c r="DO9" i="1" s="1"/>
  <c r="CO7" i="1"/>
  <c r="DK7" i="1" s="1"/>
  <c r="DO7" i="1" s="1"/>
  <c r="CO23" i="1"/>
  <c r="DK23" i="1" s="1"/>
  <c r="DO23" i="1" s="1"/>
  <c r="CO13" i="1"/>
  <c r="DK13" i="1" s="1"/>
  <c r="DO13" i="1" s="1"/>
  <c r="CO36" i="1"/>
  <c r="DK36" i="1" s="1"/>
  <c r="DO36" i="1" s="1"/>
  <c r="CO39" i="1"/>
  <c r="DK39" i="1" s="1"/>
  <c r="DO39" i="1" s="1"/>
  <c r="CO14" i="1"/>
  <c r="DK14" i="1" s="1"/>
  <c r="DO14" i="1" s="1"/>
  <c r="CO16" i="1"/>
  <c r="DK16" i="1" s="1"/>
  <c r="DO16" i="1" s="1"/>
  <c r="DD2" i="1" l="1"/>
</calcChain>
</file>

<file path=xl/sharedStrings.xml><?xml version="1.0" encoding="utf-8"?>
<sst xmlns="http://schemas.openxmlformats.org/spreadsheetml/2006/main" count="391" uniqueCount="334">
  <si>
    <t>Ethane (E)</t>
  </si>
  <si>
    <t>Propane (E)</t>
  </si>
  <si>
    <t>Propene (E)</t>
  </si>
  <si>
    <t>i-Butane (E)</t>
  </si>
  <si>
    <t>n-Butane (E)</t>
  </si>
  <si>
    <t>Ethyne (E)</t>
  </si>
  <si>
    <t>trans-2-Butene (E)</t>
  </si>
  <si>
    <t>1-Butene (E)</t>
  </si>
  <si>
    <t>i-Butene (E)</t>
  </si>
  <si>
    <t>cis-2-Butene (E)</t>
  </si>
  <si>
    <t>i-Pentane (E)</t>
  </si>
  <si>
    <t>Cyclopentene (E)</t>
  </si>
  <si>
    <t>1-Pentene (E)</t>
  </si>
  <si>
    <t>n-Hexane (E)</t>
  </si>
  <si>
    <t>Toluene (E)</t>
  </si>
  <si>
    <t>1003</t>
  </si>
  <si>
    <t>1013</t>
  </si>
  <si>
    <t>1017</t>
  </si>
  <si>
    <t>1018</t>
  </si>
  <si>
    <t>1026</t>
  </si>
  <si>
    <t>1066</t>
  </si>
  <si>
    <t>1067</t>
  </si>
  <si>
    <t>1102</t>
  </si>
  <si>
    <t>1109</t>
  </si>
  <si>
    <t>1112</t>
  </si>
  <si>
    <t>1114</t>
  </si>
  <si>
    <t>1118</t>
  </si>
  <si>
    <t>1132</t>
  </si>
  <si>
    <t>1189</t>
  </si>
  <si>
    <t>1226</t>
  </si>
  <si>
    <t>1233</t>
  </si>
  <si>
    <t>1251</t>
  </si>
  <si>
    <t>1255</t>
  </si>
  <si>
    <t>1276</t>
  </si>
  <si>
    <t>1282</t>
  </si>
  <si>
    <t>1285</t>
  </si>
  <si>
    <t>1288</t>
  </si>
  <si>
    <t>1297</t>
  </si>
  <si>
    <t>1300</t>
  </si>
  <si>
    <t>1350</t>
  </si>
  <si>
    <t>1356</t>
  </si>
  <si>
    <t>1378</t>
  </si>
  <si>
    <t>1390</t>
  </si>
  <si>
    <t>2000</t>
  </si>
  <si>
    <t>2002</t>
  </si>
  <si>
    <t>2066</t>
  </si>
  <si>
    <t>2336</t>
  </si>
  <si>
    <t>2356</t>
  </si>
  <si>
    <t>2458</t>
  </si>
  <si>
    <t>2483</t>
  </si>
  <si>
    <t>2587</t>
  </si>
  <si>
    <t>2596</t>
  </si>
  <si>
    <t>3016</t>
  </si>
  <si>
    <t>3101</t>
  </si>
  <si>
    <t>3125</t>
  </si>
  <si>
    <t>3200</t>
  </si>
  <si>
    <t>3270</t>
  </si>
  <si>
    <t>3283</t>
  </si>
  <si>
    <t>6223</t>
  </si>
  <si>
    <t>6297</t>
  </si>
  <si>
    <t>7215</t>
  </si>
  <si>
    <t>CO2 (ppmv)</t>
  </si>
  <si>
    <t>H2 (ppmv)</t>
  </si>
  <si>
    <t>can number</t>
  </si>
  <si>
    <t xml:space="preserve">Date </t>
  </si>
  <si>
    <t>Time</t>
  </si>
  <si>
    <t>Description</t>
  </si>
  <si>
    <t>backfire</t>
  </si>
  <si>
    <t>headfire</t>
  </si>
  <si>
    <t>4B backfire</t>
  </si>
  <si>
    <t>1 backfire</t>
  </si>
  <si>
    <t>Sogolan</t>
  </si>
  <si>
    <t>2C head</t>
  </si>
  <si>
    <t>3B backfire</t>
  </si>
  <si>
    <t>5B backfire</t>
  </si>
  <si>
    <t>6B headfire</t>
  </si>
  <si>
    <t>1B backfire</t>
  </si>
  <si>
    <t>2B backfire</t>
  </si>
  <si>
    <t>smoldering wood</t>
  </si>
  <si>
    <t>8B backfire</t>
  </si>
  <si>
    <t>6 headfire</t>
  </si>
  <si>
    <t>Location</t>
  </si>
  <si>
    <t>Gwansolo</t>
  </si>
  <si>
    <t>Tabukuruai</t>
  </si>
  <si>
    <t>Sajankoro</t>
  </si>
  <si>
    <t>Faraik</t>
  </si>
  <si>
    <t>4 backfire</t>
  </si>
  <si>
    <t>3 headfire</t>
  </si>
  <si>
    <t>F3 headfire</t>
  </si>
  <si>
    <t>9 headfire</t>
  </si>
  <si>
    <t>8 backfire</t>
  </si>
  <si>
    <t>5 backfire</t>
  </si>
  <si>
    <t>Wansoloco</t>
  </si>
  <si>
    <t>10 backfire</t>
  </si>
  <si>
    <t>Faradal Kurda</t>
  </si>
  <si>
    <t>Tabukida</t>
  </si>
  <si>
    <t>6 backfire</t>
  </si>
  <si>
    <t>OCS (MS)</t>
  </si>
  <si>
    <t>Acetaldehyde (MS)</t>
  </si>
  <si>
    <t>Methanol (MS</t>
  </si>
  <si>
    <t>EtCl (MS)</t>
  </si>
  <si>
    <t>Ethanol (MS)</t>
  </si>
  <si>
    <t>Acetone (MS)</t>
  </si>
  <si>
    <t>DMS (MS)</t>
  </si>
  <si>
    <t>MeONO2 (MS)</t>
  </si>
  <si>
    <t>2-Methylpentane (MS)</t>
  </si>
  <si>
    <t>MAC (MS)</t>
  </si>
  <si>
    <t>MVK (MS)</t>
  </si>
  <si>
    <t>Butanone (MS)</t>
  </si>
  <si>
    <t>EtONO2 (MS)</t>
  </si>
  <si>
    <t>i-PrONO2 (MS)</t>
  </si>
  <si>
    <t>alpha-Pinene (MS)</t>
  </si>
  <si>
    <t>CH3Cl (B/MS)</t>
  </si>
  <si>
    <t>CH3Br (C/MS)</t>
  </si>
  <si>
    <t>CH3I (C/D)</t>
  </si>
  <si>
    <t>2-BuONO2 (C/D)</t>
  </si>
  <si>
    <t>n-Pentane (E/B)</t>
  </si>
  <si>
    <t>trans-2-Pentene (E/B)</t>
  </si>
  <si>
    <t>2-Methyl-2-butene (E/B)</t>
  </si>
  <si>
    <t>Benzene (E/B)</t>
  </si>
  <si>
    <t>iso-Propylbenzene (B/MS)</t>
  </si>
  <si>
    <t>n-Propylbenzene (B/MS)</t>
  </si>
  <si>
    <t>3-Methyl-1-butene (E/B)</t>
  </si>
  <si>
    <t>n-PrONO2 (C/D/MS)</t>
  </si>
  <si>
    <t>1,2-Propadiene (E/B)</t>
  </si>
  <si>
    <t>CH4 (ppmv)</t>
  </si>
  <si>
    <t>1-Propyne (B)</t>
  </si>
  <si>
    <t>1,3-Butadiene (B)</t>
  </si>
  <si>
    <t>1-Buten-3-yne (B)</t>
  </si>
  <si>
    <t>1-Butyne (B)</t>
  </si>
  <si>
    <t>1,3-Butadyne (B)</t>
  </si>
  <si>
    <t>1,2-Butadiene (B)</t>
  </si>
  <si>
    <t>2-Butyne (B)</t>
  </si>
  <si>
    <t>Furan (B)</t>
  </si>
  <si>
    <t>2-Methyl-1-butene (B)</t>
  </si>
  <si>
    <t>Isoprene (B)</t>
  </si>
  <si>
    <t>cis-2-Pentene (B)</t>
  </si>
  <si>
    <t>1-Hexene (B)</t>
  </si>
  <si>
    <t>2-Methylfuran (B)</t>
  </si>
  <si>
    <t>1-Heptene (B)</t>
  </si>
  <si>
    <t>1-Octene (B)</t>
  </si>
  <si>
    <t>Ethylbenzene (B)</t>
  </si>
  <si>
    <t>m/p-Xylene (B)</t>
  </si>
  <si>
    <t>Styrene (B)</t>
  </si>
  <si>
    <t>o-Xylene (B)</t>
  </si>
  <si>
    <t>3-Ethyltoluene (B)</t>
  </si>
  <si>
    <t>4-Ethyltoluene (B)</t>
  </si>
  <si>
    <t>1,3,5-Trimethylbenzene (B)</t>
  </si>
  <si>
    <t>2-Ethyltoluene (B)</t>
  </si>
  <si>
    <t>1,2,4-Trimethylbenzene (B)</t>
  </si>
  <si>
    <t>1,2,3-Trimethylbenzene (B)</t>
  </si>
  <si>
    <t>Ethene (E/B)</t>
  </si>
  <si>
    <t>CO (ppmv)</t>
  </si>
  <si>
    <t>Season</t>
  </si>
  <si>
    <t>wind type</t>
  </si>
  <si>
    <t>CH4_true</t>
  </si>
  <si>
    <t>CO_true</t>
  </si>
  <si>
    <t>CO2_true</t>
  </si>
  <si>
    <t>kro 35</t>
  </si>
  <si>
    <t>gon20</t>
  </si>
  <si>
    <t>gon30</t>
  </si>
  <si>
    <t>gon40</t>
  </si>
  <si>
    <t>gon50</t>
  </si>
  <si>
    <t>sod70</t>
  </si>
  <si>
    <t>sog210</t>
  </si>
  <si>
    <t>sog240</t>
  </si>
  <si>
    <t>sog251</t>
  </si>
  <si>
    <t>sog260</t>
  </si>
  <si>
    <t>sog28</t>
  </si>
  <si>
    <t>sog30</t>
  </si>
  <si>
    <t>sog29</t>
  </si>
  <si>
    <t>sog280</t>
  </si>
  <si>
    <t>sod7</t>
  </si>
  <si>
    <t>sod100</t>
  </si>
  <si>
    <t>kou130</t>
  </si>
  <si>
    <t>kou150</t>
  </si>
  <si>
    <t>kou160</t>
  </si>
  <si>
    <t>ID</t>
  </si>
  <si>
    <t>Sod9</t>
  </si>
  <si>
    <t>Sod10</t>
  </si>
  <si>
    <t xml:space="preserve"> Season</t>
  </si>
  <si>
    <t>Wind_speed (m/s)</t>
  </si>
  <si>
    <t>grass_biomass_%</t>
  </si>
  <si>
    <t>humidity</t>
  </si>
  <si>
    <t>ambient_temp</t>
  </si>
  <si>
    <t>Majveg_type</t>
  </si>
  <si>
    <t>Grass by Ht</t>
  </si>
  <si>
    <t>An_Peren</t>
  </si>
  <si>
    <t>seasonal</t>
  </si>
  <si>
    <t>local</t>
  </si>
  <si>
    <t>burn_time (s)</t>
  </si>
  <si>
    <t>m/s</t>
  </si>
  <si>
    <t>H (kj/kg)</t>
  </si>
  <si>
    <t>sod101</t>
  </si>
  <si>
    <t>EF_CO</t>
  </si>
  <si>
    <t>EF_CO2</t>
  </si>
  <si>
    <t>ER_CH4</t>
  </si>
  <si>
    <t>ER_CO</t>
  </si>
  <si>
    <t>ER_CO2</t>
  </si>
  <si>
    <t>ER_CH4_true</t>
  </si>
  <si>
    <t>H Intensity</t>
  </si>
  <si>
    <t>H% cons</t>
  </si>
  <si>
    <t>H Speed</t>
  </si>
  <si>
    <t>B Intensity</t>
  </si>
  <si>
    <t>B %cons</t>
  </si>
  <si>
    <t>B Speed</t>
  </si>
  <si>
    <t>M % cons</t>
  </si>
  <si>
    <t>M speed</t>
  </si>
  <si>
    <t>flank fire</t>
  </si>
  <si>
    <t>kro 33</t>
  </si>
  <si>
    <t>kid 19</t>
  </si>
  <si>
    <t>kou 16</t>
  </si>
  <si>
    <t>gon 6</t>
  </si>
  <si>
    <t>kou 140</t>
  </si>
  <si>
    <t>Kou 150</t>
  </si>
  <si>
    <t>Far 3</t>
  </si>
  <si>
    <t>Far 1</t>
  </si>
  <si>
    <t>Gon 4</t>
  </si>
  <si>
    <t>moisture</t>
  </si>
  <si>
    <t>Methane density g/m</t>
  </si>
  <si>
    <t>MCE_true</t>
  </si>
  <si>
    <t>Eff_Visual BE</t>
  </si>
  <si>
    <t>5BB headfire</t>
  </si>
  <si>
    <t>Scorch_height (m)</t>
  </si>
  <si>
    <t>Wind_direct (1=Head)</t>
  </si>
  <si>
    <t>Flame=1 (flaming)</t>
  </si>
  <si>
    <t>MCE RAW</t>
  </si>
  <si>
    <t>Kou1600</t>
  </si>
  <si>
    <t>Kou1400</t>
  </si>
  <si>
    <t>Total Moisture %</t>
  </si>
  <si>
    <t>CC True</t>
  </si>
  <si>
    <t>Byram Intensity True</t>
  </si>
  <si>
    <t>Kurula</t>
  </si>
  <si>
    <t>Konda 2B</t>
  </si>
  <si>
    <t>Headfire</t>
  </si>
  <si>
    <t>Kon182</t>
  </si>
  <si>
    <t>Sojankoro</t>
  </si>
  <si>
    <t>F1 head</t>
  </si>
  <si>
    <t>Air</t>
  </si>
  <si>
    <t>Viney Moisture %</t>
  </si>
  <si>
    <t xml:space="preserve">ASH Etc. </t>
  </si>
  <si>
    <t>EF CH4 unadj</t>
  </si>
  <si>
    <t>EF_CH4 .50</t>
  </si>
  <si>
    <t>Wet biomass (kg/m^2)</t>
  </si>
  <si>
    <t>unadjusted biomass kg/m^2</t>
  </si>
  <si>
    <r>
      <rPr>
        <sz val="10"/>
        <color rgb="FFFF0000"/>
        <rFont val="Arial"/>
        <family val="2"/>
      </rPr>
      <t>unadj Biom_cons %</t>
    </r>
    <r>
      <rPr>
        <sz val="10"/>
        <color theme="1"/>
        <rFont val="Arial"/>
        <family val="2"/>
      </rPr>
      <t xml:space="preserve"> CC</t>
    </r>
  </si>
  <si>
    <t>Dry biomass (kg/m^2) adj viney+</t>
  </si>
  <si>
    <t>CH4 Density</t>
  </si>
  <si>
    <t>Early</t>
  </si>
  <si>
    <t>Mid</t>
  </si>
  <si>
    <t>Head</t>
  </si>
  <si>
    <t>Back</t>
  </si>
  <si>
    <t>Patchiness</t>
  </si>
  <si>
    <t>Sod5</t>
  </si>
  <si>
    <t xml:space="preserve"> 2 backfire</t>
  </si>
  <si>
    <t>2 Backfire</t>
  </si>
  <si>
    <t>Sodian</t>
  </si>
  <si>
    <t>Sod102</t>
  </si>
  <si>
    <t>Sodiankoro</t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</si>
  <si>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19.742  </t>
    </r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</si>
  <si>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36.824</t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</si>
  <si>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19.710   </t>
    </r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</si>
  <si>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36.801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</si>
  <si>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15.574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</si>
  <si>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24.996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</si>
  <si>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15.619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</si>
  <si>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24.999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</si>
  <si>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15.559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</si>
  <si>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25.035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</si>
  <si>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22.223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</si>
  <si>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27.372</t>
    </r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</si>
  <si>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35.877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</si>
  <si>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22.259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</si>
  <si>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27.412 </t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</si>
  <si>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22.224</t>
    </r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</si>
  <si>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35.309 </t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</si>
  <si>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20.585 </t>
    </r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</si>
  <si>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35.797 </t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</si>
  <si>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20.602  </t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</si>
  <si>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20.535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</si>
  <si>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22.269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</si>
  <si>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27.384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</si>
  <si>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22.250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</si>
  <si>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27.404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</si>
  <si>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22.269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</si>
  <si>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19.377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</si>
  <si>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23.353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</si>
  <si>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17.670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</si>
  <si>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26.217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</si>
  <si>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17.728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</si>
  <si>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26.237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</si>
  <si>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17.728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</si>
  <si>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17.663 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</si>
  <si>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26.232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</si>
  <si>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15.558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</si>
  <si>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25.023</t>
    </r>
  </si>
  <si>
    <t>W008 27.396</t>
  </si>
  <si>
    <t>N12 22.264</t>
  </si>
  <si>
    <t>Coord_N</t>
  </si>
  <si>
    <t>Coord_W</t>
  </si>
  <si>
    <t>1c backfire</t>
  </si>
  <si>
    <t>AIR sample</t>
  </si>
  <si>
    <t>Fajele  Air</t>
  </si>
  <si>
    <t>Kro5</t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</si>
  <si>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19.780 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</si>
  <si>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36.851</t>
    </r>
  </si>
  <si>
    <t>sog22?</t>
  </si>
  <si>
    <r>
      <t>W 007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35.310</t>
    </r>
    <r>
      <rPr>
        <sz val="11"/>
        <color theme="1"/>
        <rFont val="Calibri"/>
        <family val="2"/>
        <scheme val="minor"/>
      </rPr>
      <t/>
    </r>
  </si>
  <si>
    <r>
      <t xml:space="preserve"> 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24.999</t>
    </r>
    <r>
      <rPr>
        <sz val="11"/>
        <color theme="1"/>
        <rFont val="Calibri"/>
        <family val="2"/>
        <scheme val="minor"/>
      </rPr>
      <t/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</si>
  <si>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26.238</t>
    </r>
    <r>
      <rPr>
        <sz val="11"/>
        <color theme="1"/>
        <rFont val="Calibri"/>
        <family val="2"/>
        <scheme val="minor"/>
      </rPr>
      <t/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</si>
  <si>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22.413</t>
    </r>
    <r>
      <rPr>
        <sz val="11"/>
        <color theme="1"/>
        <rFont val="Calibri"/>
        <family val="2"/>
        <scheme val="minor"/>
      </rPr>
      <t/>
    </r>
  </si>
  <si>
    <r>
      <t xml:space="preserve"> 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>22.445</t>
    </r>
    <r>
      <rPr>
        <sz val="11"/>
        <color theme="1"/>
        <rFont val="Calibri"/>
        <family val="2"/>
        <scheme val="minor"/>
      </rPr>
      <t/>
    </r>
  </si>
  <si>
    <r>
      <t>N 11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22.224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</si>
  <si>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15.609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</si>
  <si>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16.387 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</si>
  <si>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16.438 </t>
    </r>
  </si>
  <si>
    <r>
      <t>N 12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15.619 </t>
    </r>
  </si>
  <si>
    <r>
      <t>W 008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24.999</t>
    </r>
  </si>
  <si>
    <r>
      <t>N 12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15.547 </t>
    </r>
  </si>
  <si>
    <r>
      <t xml:space="preserve"> W 008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25.022</t>
    </r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</si>
  <si>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20.535 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</si>
  <si>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35.877</t>
    </r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</si>
  <si>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22.153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</si>
  <si>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35.302</t>
    </r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</si>
  <si>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22.238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</si>
  <si>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35.383</t>
    </r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</si>
  <si>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20.468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</si>
  <si>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35.860 </t>
    </r>
  </si>
  <si>
    <r>
      <t>N 11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22.165 </t>
    </r>
  </si>
  <si>
    <r>
      <t>W 007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35.309 </t>
    </r>
  </si>
  <si>
    <r>
      <t>N 12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 xml:space="preserve">22.239 </t>
    </r>
  </si>
  <si>
    <r>
      <t>W 008</t>
    </r>
    <r>
      <rPr>
        <vertAlign val="superscript"/>
        <sz val="11"/>
        <rFont val="Calibri"/>
        <family val="2"/>
        <scheme val="minor"/>
      </rPr>
      <t>o</t>
    </r>
    <r>
      <rPr>
        <sz val="10"/>
        <rFont val="Arial"/>
        <family val="2"/>
      </rPr>
      <t>27.374</t>
    </r>
  </si>
  <si>
    <r>
      <t>N 12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17.618 </t>
    </r>
  </si>
  <si>
    <r>
      <t>W 008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0"/>
        <color theme="1"/>
        <rFont val="Arial"/>
        <family val="2"/>
      </rPr>
      <t xml:space="preserve">24.601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</si>
</sst>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70C0"/>
      <name val="Arial"/>
      <family val="2"/>
    </font>
    <font>
      <sz val="10"/>
      <color theme="3"/>
      <name val="Arial"/>
      <family val="2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/>
    <xf numFmtId="2" fontId="0" fillId="0" borderId="0" xfId="0" applyNumberFormat="1"/>
    <xf numFmtId="14" fontId="3" fillId="0" borderId="0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" fontId="0" fillId="2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14" fontId="0" fillId="5" borderId="0" xfId="0" applyNumberFormat="1" applyFont="1" applyFill="1" applyBorder="1" applyAlignment="1">
      <alignment horizontal="center"/>
    </xf>
    <xf numFmtId="20" fontId="0" fillId="5" borderId="0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0" fillId="0" borderId="0" xfId="0" applyFill="1"/>
    <xf numFmtId="165" fontId="0" fillId="0" borderId="0" xfId="0" applyNumberFormat="1" applyFont="1" applyFill="1" applyBorder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/>
    <xf numFmtId="165" fontId="0" fillId="3" borderId="0" xfId="0" applyNumberFormat="1" applyFont="1" applyFill="1" applyBorder="1" applyAlignment="1">
      <alignment horizontal="center"/>
    </xf>
    <xf numFmtId="2" fontId="0" fillId="3" borderId="0" xfId="0" applyNumberFormat="1" applyFont="1" applyFill="1" applyBorder="1"/>
    <xf numFmtId="1" fontId="0" fillId="3" borderId="0" xfId="0" applyNumberFormat="1" applyFill="1" applyAlignment="1">
      <alignment horizontal="center"/>
    </xf>
    <xf numFmtId="165" fontId="0" fillId="5" borderId="0" xfId="0" applyNumberFormat="1" applyFont="1" applyFill="1" applyBorder="1" applyAlignment="1">
      <alignment horizontal="center"/>
    </xf>
    <xf numFmtId="2" fontId="0" fillId="5" borderId="0" xfId="0" applyNumberFormat="1" applyFont="1" applyFill="1" applyBorder="1"/>
    <xf numFmtId="1" fontId="0" fillId="5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5" borderId="0" xfId="0" applyFont="1" applyFill="1" applyBorder="1"/>
    <xf numFmtId="2" fontId="4" fillId="0" borderId="0" xfId="0" applyNumberFormat="1" applyFont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0" fillId="3" borderId="0" xfId="0" applyFont="1" applyFill="1" applyBorder="1"/>
    <xf numFmtId="0" fontId="4" fillId="0" borderId="0" xfId="0" applyFont="1" applyFill="1" applyBorder="1"/>
    <xf numFmtId="0" fontId="3" fillId="5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6" borderId="0" xfId="0" applyFont="1" applyFill="1" applyBorder="1" applyAlignment="1">
      <alignment horizontal="center"/>
    </xf>
    <xf numFmtId="1" fontId="0" fillId="6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3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 vertical="top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 vertical="top"/>
    </xf>
    <xf numFmtId="0" fontId="7" fillId="6" borderId="0" xfId="0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166" fontId="0" fillId="0" borderId="0" xfId="0" applyNumberFormat="1" applyFont="1" applyFill="1" applyAlignment="1">
      <alignment horizontal="right"/>
    </xf>
    <xf numFmtId="0" fontId="0" fillId="7" borderId="0" xfId="0" applyFont="1" applyFill="1" applyBorder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center"/>
    </xf>
    <xf numFmtId="165" fontId="0" fillId="0" borderId="0" xfId="0" applyNumberFormat="1" applyFill="1"/>
    <xf numFmtId="0" fontId="0" fillId="3" borderId="0" xfId="0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0" fillId="5" borderId="0" xfId="0" applyFont="1" applyFill="1" applyBorder="1" applyAlignment="1"/>
    <xf numFmtId="0" fontId="0" fillId="0" borderId="0" xfId="0" applyFont="1" applyFill="1" applyAlignment="1"/>
    <xf numFmtId="0" fontId="0" fillId="7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T94"/>
  <sheetViews>
    <sheetView tabSelected="1" zoomScaleNormal="100" workbookViewId="0">
      <pane xSplit="15" ySplit="1" topLeftCell="DH2" activePane="bottomRight" state="frozen"/>
      <selection pane="topRight" activeCell="I1" sqref="I1"/>
      <selection pane="bottomLeft" activeCell="A2" sqref="A2"/>
      <selection pane="bottomRight" activeCell="DQ1" sqref="DQ1"/>
    </sheetView>
  </sheetViews>
  <sheetFormatPr defaultColWidth="9.1796875" defaultRowHeight="12.5" x14ac:dyDescent="0.25"/>
  <cols>
    <col min="1" max="1" width="7.54296875" style="65" customWidth="1"/>
    <col min="2" max="2" width="7.54296875" style="1" customWidth="1"/>
    <col min="3" max="3" width="10.1796875" style="1" bestFit="1" customWidth="1"/>
    <col min="4" max="4" width="5.54296875" style="1" bestFit="1" customWidth="1"/>
    <col min="5" max="5" width="8.453125" style="1" customWidth="1"/>
    <col min="6" max="6" width="9.7265625" style="1" customWidth="1"/>
    <col min="7" max="7" width="6.36328125" style="1" customWidth="1"/>
    <col min="8" max="8" width="7.26953125" style="1" customWidth="1"/>
    <col min="9" max="9" width="9.26953125" style="1" customWidth="1"/>
    <col min="10" max="11" width="7.6328125" style="1" customWidth="1"/>
    <col min="12" max="12" width="8.90625" style="1" customWidth="1"/>
    <col min="13" max="13" width="8.6328125" style="31" customWidth="1"/>
    <col min="14" max="14" width="8.1796875" style="15" customWidth="1"/>
    <col min="15" max="15" width="9.36328125" style="35" customWidth="1"/>
    <col min="16" max="16" width="13" customWidth="1"/>
    <col min="17" max="20" width="10.7265625" customWidth="1"/>
    <col min="21" max="21" width="9.26953125" bestFit="1" customWidth="1"/>
    <col min="22" max="22" width="9.54296875" style="2" bestFit="1" customWidth="1"/>
    <col min="23" max="23" width="9.7265625" style="2" bestFit="1" customWidth="1"/>
    <col min="24" max="24" width="12.7265625" style="2" bestFit="1" customWidth="1"/>
    <col min="25" max="25" width="12.81640625" style="2" bestFit="1" customWidth="1"/>
    <col min="26" max="26" width="9.81640625" style="2" bestFit="1" customWidth="1"/>
    <col min="27" max="27" width="9.1796875" style="2" bestFit="1" customWidth="1"/>
    <col min="28" max="28" width="13.453125" style="2" bestFit="1" customWidth="1"/>
    <col min="29" max="29" width="12.54296875" style="2" bestFit="1" customWidth="1"/>
    <col min="30" max="30" width="13.7265625" style="2" bestFit="1" customWidth="1"/>
    <col min="31" max="31" width="18.1796875" style="2" bestFit="1" customWidth="1"/>
    <col min="32" max="32" width="15" style="2" bestFit="1" customWidth="1"/>
    <col min="33" max="33" width="9.81640625" style="2" bestFit="1" customWidth="1"/>
    <col min="34" max="34" width="11.7265625" style="2" bestFit="1" customWidth="1"/>
    <col min="35" max="35" width="10" style="2" bestFit="1" customWidth="1"/>
    <col min="36" max="38" width="10.81640625" style="2" bestFit="1" customWidth="1"/>
    <col min="39" max="40" width="11.453125" style="2" bestFit="1" customWidth="1"/>
    <col min="41" max="41" width="10.81640625" style="2" bestFit="1" customWidth="1"/>
    <col min="42" max="42" width="16.26953125" style="2" bestFit="1" customWidth="1"/>
    <col min="43" max="43" width="14.54296875" style="2" bestFit="1" customWidth="1"/>
    <col min="44" max="44" width="11.81640625" style="2" bestFit="1" customWidth="1"/>
    <col min="45" max="45" width="14.453125" style="2" bestFit="1" customWidth="1"/>
    <col min="46" max="46" width="15.54296875" style="2" bestFit="1" customWidth="1"/>
    <col min="47" max="47" width="18.54296875" style="2" bestFit="1" customWidth="1"/>
    <col min="48" max="48" width="12.453125" style="2" bestFit="1" customWidth="1"/>
    <col min="49" max="50" width="11.453125" style="2" bestFit="1" customWidth="1"/>
    <col min="51" max="51" width="15.7265625" style="2" bestFit="1" customWidth="1"/>
    <col min="52" max="52" width="15.1796875" style="2" bestFit="1" customWidth="1"/>
    <col min="53" max="53" width="15.54296875" style="2" bestFit="1" customWidth="1"/>
    <col min="54" max="54" width="12.453125" style="2" bestFit="1" customWidth="1"/>
    <col min="55" max="55" width="11" style="2" bestFit="1" customWidth="1"/>
    <col min="56" max="56" width="19.26953125" style="2" bestFit="1" customWidth="1"/>
    <col min="57" max="57" width="15.54296875" style="2" bestFit="1" customWidth="1"/>
    <col min="58" max="58" width="21" style="2" bestFit="1" customWidth="1"/>
    <col min="59" max="59" width="19.1796875" style="2" bestFit="1" customWidth="1"/>
    <col min="60" max="60" width="21" style="2" bestFit="1" customWidth="1"/>
    <col min="61" max="61" width="15.453125" style="2" bestFit="1" customWidth="1"/>
    <col min="62" max="62" width="11.81640625" style="2" bestFit="1" customWidth="1"/>
    <col min="63" max="63" width="12.453125" style="2" bestFit="1" customWidth="1"/>
    <col min="64" max="64" width="11.54296875" style="2" bestFit="1" customWidth="1"/>
    <col min="65" max="65" width="11.81640625" style="2" bestFit="1" customWidth="1"/>
    <col min="66" max="66" width="19.54296875" style="2" bestFit="1" customWidth="1"/>
    <col min="67" max="67" width="13.26953125" style="2" bestFit="1" customWidth="1"/>
    <col min="68" max="68" width="10.453125" style="2" bestFit="1" customWidth="1"/>
    <col min="69" max="69" width="15.453125" style="2" bestFit="1" customWidth="1"/>
    <col min="70" max="70" width="13.26953125" style="2" bestFit="1" customWidth="1"/>
    <col min="71" max="71" width="11" style="2" bestFit="1" customWidth="1"/>
    <col min="72" max="72" width="10.453125" style="2" bestFit="1" customWidth="1"/>
    <col min="73" max="73" width="23.1796875" style="2" bestFit="1" customWidth="1"/>
    <col min="74" max="74" width="21.7265625" style="2" bestFit="1" customWidth="1"/>
    <col min="75" max="77" width="16" style="2" bestFit="1" customWidth="1"/>
    <col min="78" max="80" width="23.7265625" style="2" bestFit="1" customWidth="1"/>
    <col min="81" max="81" width="16.453125" style="2" bestFit="1" customWidth="1"/>
    <col min="82" max="82" width="17" style="2" bestFit="1" customWidth="1"/>
    <col min="83" max="83" width="12.453125" style="2" bestFit="1" customWidth="1"/>
    <col min="84" max="84" width="13.54296875" style="2" bestFit="1" customWidth="1"/>
    <col min="85" max="86" width="9.7265625" style="2" bestFit="1" customWidth="1"/>
    <col min="87" max="87" width="12.54296875" style="2" bestFit="1" customWidth="1"/>
    <col min="88" max="88" width="11.81640625" style="2" bestFit="1" customWidth="1"/>
    <col min="89" max="89" width="8.7265625" style="2" bestFit="1" customWidth="1"/>
    <col min="90" max="90" width="15.26953125" style="2" bestFit="1" customWidth="1"/>
    <col min="91" max="91" width="9.1796875" style="2"/>
    <col min="92" max="92" width="12.7265625" style="2" customWidth="1"/>
    <col min="93" max="93" width="9.1796875" style="2"/>
    <col min="94" max="110" width="9.1796875" style="1"/>
    <col min="111" max="111" width="9.1796875" style="92"/>
    <col min="112" max="112" width="9.1796875" style="1"/>
    <col min="113" max="113" width="9.1796875" style="2"/>
    <col min="114" max="114" width="9.1796875" style="1"/>
    <col min="115" max="117" width="9.1796875" style="2"/>
    <col min="118" max="118" width="9.1796875" style="1"/>
    <col min="119" max="119" width="17.08984375" style="2" customWidth="1"/>
    <col min="120" max="120" width="9.1796875" style="63"/>
    <col min="121" max="121" width="9.1796875" style="2"/>
    <col min="122" max="122" width="12.1796875" style="2" bestFit="1" customWidth="1"/>
    <col min="123" max="123" width="10.36328125" style="2" bestFit="1" customWidth="1"/>
    <col min="124" max="16384" width="9.1796875" style="2"/>
  </cols>
  <sheetData>
    <row r="1" spans="1:124" ht="11" customHeight="1" x14ac:dyDescent="0.25">
      <c r="A1" s="65" t="s">
        <v>63</v>
      </c>
      <c r="B1" s="1" t="s">
        <v>153</v>
      </c>
      <c r="C1" s="1" t="s">
        <v>64</v>
      </c>
      <c r="D1" s="1" t="s">
        <v>65</v>
      </c>
      <c r="E1" s="1" t="s">
        <v>298</v>
      </c>
      <c r="F1" s="1" t="s">
        <v>299</v>
      </c>
      <c r="G1" s="1" t="s">
        <v>81</v>
      </c>
      <c r="H1" s="1" t="s">
        <v>177</v>
      </c>
      <c r="I1" s="1" t="s">
        <v>66</v>
      </c>
      <c r="J1" s="1" t="s">
        <v>154</v>
      </c>
      <c r="K1" s="1" t="s">
        <v>125</v>
      </c>
      <c r="L1" s="24" t="s">
        <v>155</v>
      </c>
      <c r="M1" s="30" t="s">
        <v>152</v>
      </c>
      <c r="N1" s="25" t="s">
        <v>156</v>
      </c>
      <c r="O1" s="32" t="s">
        <v>61</v>
      </c>
      <c r="P1" s="26" t="s">
        <v>157</v>
      </c>
      <c r="Q1" s="26" t="s">
        <v>226</v>
      </c>
      <c r="R1" s="48" t="s">
        <v>196</v>
      </c>
      <c r="S1" s="48" t="s">
        <v>197</v>
      </c>
      <c r="T1" s="48" t="s">
        <v>198</v>
      </c>
      <c r="U1" s="4" t="s">
        <v>62</v>
      </c>
      <c r="V1" s="9" t="s">
        <v>97</v>
      </c>
      <c r="W1" s="9" t="s">
        <v>103</v>
      </c>
      <c r="X1" s="11" t="s">
        <v>112</v>
      </c>
      <c r="Y1" s="11" t="s">
        <v>113</v>
      </c>
      <c r="Z1" s="11" t="s">
        <v>114</v>
      </c>
      <c r="AA1" s="9" t="s">
        <v>100</v>
      </c>
      <c r="AB1" s="9" t="s">
        <v>104</v>
      </c>
      <c r="AC1" s="9" t="s">
        <v>109</v>
      </c>
      <c r="AD1" s="9" t="s">
        <v>110</v>
      </c>
      <c r="AE1" s="11" t="s">
        <v>123</v>
      </c>
      <c r="AF1" s="11" t="s">
        <v>115</v>
      </c>
      <c r="AG1" s="1" t="s">
        <v>0</v>
      </c>
      <c r="AH1" s="1" t="s">
        <v>151</v>
      </c>
      <c r="AI1" s="1" t="s">
        <v>5</v>
      </c>
      <c r="AJ1" s="1" t="s">
        <v>1</v>
      </c>
      <c r="AK1" s="1" t="s">
        <v>2</v>
      </c>
      <c r="AL1" s="1" t="s">
        <v>3</v>
      </c>
      <c r="AM1" s="1" t="s">
        <v>4</v>
      </c>
      <c r="AN1" s="1" t="s">
        <v>7</v>
      </c>
      <c r="AO1" s="1" t="s">
        <v>8</v>
      </c>
      <c r="AP1" s="1" t="s">
        <v>6</v>
      </c>
      <c r="AQ1" s="1" t="s">
        <v>9</v>
      </c>
      <c r="AR1" s="1" t="s">
        <v>10</v>
      </c>
      <c r="AS1" s="11" t="s">
        <v>116</v>
      </c>
      <c r="AT1" s="1" t="s">
        <v>127</v>
      </c>
      <c r="AU1" s="1" t="s">
        <v>124</v>
      </c>
      <c r="AV1" s="1" t="s">
        <v>126</v>
      </c>
      <c r="AW1" s="1" t="s">
        <v>129</v>
      </c>
      <c r="AX1" s="1" t="s">
        <v>132</v>
      </c>
      <c r="AY1" s="1" t="s">
        <v>128</v>
      </c>
      <c r="AZ1" s="1" t="s">
        <v>130</v>
      </c>
      <c r="BA1" s="1" t="s">
        <v>131</v>
      </c>
      <c r="BB1" s="1" t="s">
        <v>12</v>
      </c>
      <c r="BC1" s="1" t="s">
        <v>135</v>
      </c>
      <c r="BD1" s="4" t="s">
        <v>117</v>
      </c>
      <c r="BE1" s="1" t="s">
        <v>136</v>
      </c>
      <c r="BF1" s="4" t="s">
        <v>122</v>
      </c>
      <c r="BG1" s="1" t="s">
        <v>134</v>
      </c>
      <c r="BH1" s="4" t="s">
        <v>118</v>
      </c>
      <c r="BI1" s="1" t="s">
        <v>11</v>
      </c>
      <c r="BJ1" s="1" t="s">
        <v>137</v>
      </c>
      <c r="BK1" s="1" t="s">
        <v>139</v>
      </c>
      <c r="BL1" s="1" t="s">
        <v>140</v>
      </c>
      <c r="BM1" s="1" t="s">
        <v>13</v>
      </c>
      <c r="BN1" s="9" t="s">
        <v>105</v>
      </c>
      <c r="BO1" s="11" t="s">
        <v>119</v>
      </c>
      <c r="BP1" s="1" t="s">
        <v>14</v>
      </c>
      <c r="BQ1" s="1" t="s">
        <v>141</v>
      </c>
      <c r="BR1" s="1" t="s">
        <v>142</v>
      </c>
      <c r="BS1" s="1" t="s">
        <v>144</v>
      </c>
      <c r="BT1" s="1" t="s">
        <v>143</v>
      </c>
      <c r="BU1" s="4" t="s">
        <v>120</v>
      </c>
      <c r="BV1" s="4" t="s">
        <v>121</v>
      </c>
      <c r="BW1" s="1" t="s">
        <v>145</v>
      </c>
      <c r="BX1" s="1" t="s">
        <v>146</v>
      </c>
      <c r="BY1" s="1" t="s">
        <v>148</v>
      </c>
      <c r="BZ1" s="1" t="s">
        <v>147</v>
      </c>
      <c r="CA1" s="1" t="s">
        <v>149</v>
      </c>
      <c r="CB1" s="1" t="s">
        <v>150</v>
      </c>
      <c r="CC1" s="9" t="s">
        <v>111</v>
      </c>
      <c r="CD1" s="1" t="s">
        <v>98</v>
      </c>
      <c r="CE1" s="1" t="s">
        <v>102</v>
      </c>
      <c r="CF1" s="1" t="s">
        <v>108</v>
      </c>
      <c r="CG1" s="9" t="s">
        <v>106</v>
      </c>
      <c r="CH1" s="1" t="s">
        <v>107</v>
      </c>
      <c r="CI1" s="1" t="s">
        <v>99</v>
      </c>
      <c r="CJ1" s="1" t="s">
        <v>101</v>
      </c>
      <c r="CK1" s="1" t="s">
        <v>133</v>
      </c>
      <c r="CL1" s="1" t="s">
        <v>138</v>
      </c>
      <c r="CM1" s="57" t="s">
        <v>220</v>
      </c>
      <c r="CN1" s="1" t="s">
        <v>199</v>
      </c>
      <c r="CO1" s="55" t="s">
        <v>241</v>
      </c>
      <c r="CP1" s="57" t="s">
        <v>180</v>
      </c>
      <c r="CQ1" s="57" t="s">
        <v>181</v>
      </c>
      <c r="CR1" s="57" t="s">
        <v>182</v>
      </c>
      <c r="CS1" s="57" t="s">
        <v>183</v>
      </c>
      <c r="CT1" s="57" t="s">
        <v>184</v>
      </c>
      <c r="CU1" s="1" t="s">
        <v>185</v>
      </c>
      <c r="CV1" s="57" t="s">
        <v>186</v>
      </c>
      <c r="CW1" s="57" t="s">
        <v>187</v>
      </c>
      <c r="CX1" s="27" t="s">
        <v>243</v>
      </c>
      <c r="CY1" s="57" t="s">
        <v>223</v>
      </c>
      <c r="CZ1" s="57" t="s">
        <v>224</v>
      </c>
      <c r="DA1" s="57" t="s">
        <v>221</v>
      </c>
      <c r="DB1" s="52" t="s">
        <v>245</v>
      </c>
      <c r="DC1" s="52" t="s">
        <v>188</v>
      </c>
      <c r="DD1" s="52" t="s">
        <v>189</v>
      </c>
      <c r="DE1" s="57" t="s">
        <v>190</v>
      </c>
      <c r="DF1" s="57" t="s">
        <v>191</v>
      </c>
      <c r="DG1" s="96" t="s">
        <v>192</v>
      </c>
      <c r="DH1" s="27" t="s">
        <v>244</v>
      </c>
      <c r="DI1" s="57" t="s">
        <v>246</v>
      </c>
      <c r="DJ1" s="23" t="s">
        <v>225</v>
      </c>
      <c r="DK1" s="57" t="s">
        <v>242</v>
      </c>
      <c r="DL1" s="57" t="s">
        <v>194</v>
      </c>
      <c r="DM1" s="1" t="s">
        <v>195</v>
      </c>
      <c r="DN1" s="1" t="s">
        <v>218</v>
      </c>
      <c r="DO1" s="57" t="s">
        <v>219</v>
      </c>
      <c r="DP1" s="57" t="s">
        <v>229</v>
      </c>
      <c r="DQ1" s="57" t="s">
        <v>239</v>
      </c>
      <c r="DR1" s="83" t="s">
        <v>231</v>
      </c>
      <c r="DS1" s="52" t="s">
        <v>240</v>
      </c>
      <c r="DT1" s="57" t="s">
        <v>230</v>
      </c>
    </row>
    <row r="2" spans="1:124" ht="12" hidden="1" customHeight="1" x14ac:dyDescent="0.35">
      <c r="A2" s="1" t="s">
        <v>34</v>
      </c>
      <c r="B2" s="1">
        <v>1</v>
      </c>
      <c r="C2" s="6">
        <v>42341</v>
      </c>
      <c r="D2" s="7">
        <v>0.5</v>
      </c>
      <c r="E2" t="s">
        <v>259</v>
      </c>
      <c r="F2" t="s">
        <v>260</v>
      </c>
      <c r="G2" s="23" t="s">
        <v>302</v>
      </c>
      <c r="H2" s="23"/>
      <c r="I2" s="23"/>
      <c r="J2" s="23"/>
      <c r="K2" s="40">
        <v>1.901</v>
      </c>
      <c r="L2" s="40">
        <f>AVERAGE(K2,K11,K26)</f>
        <v>1.9013333333333333</v>
      </c>
      <c r="M2" s="41">
        <v>0.11</v>
      </c>
      <c r="N2" s="41">
        <f>AVERAGE(M2,M11,M26,)</f>
        <v>9.5000000000000001E-2</v>
      </c>
      <c r="O2" s="42">
        <v>407</v>
      </c>
      <c r="P2" s="5">
        <f>AVERAGE(O2,O11,O26)</f>
        <v>409</v>
      </c>
      <c r="Q2" s="37"/>
      <c r="R2" s="37"/>
      <c r="S2" s="5"/>
      <c r="T2" s="37"/>
      <c r="U2" s="8">
        <v>0.6</v>
      </c>
      <c r="V2" s="3">
        <v>895</v>
      </c>
      <c r="W2" s="3">
        <v>1</v>
      </c>
      <c r="X2" s="3">
        <v>718</v>
      </c>
      <c r="Y2" s="21">
        <v>7.5</v>
      </c>
      <c r="Z2" s="18">
        <v>0.6</v>
      </c>
      <c r="AA2" s="21">
        <v>3.1</v>
      </c>
      <c r="AB2" s="21">
        <v>15.3</v>
      </c>
      <c r="AC2" s="21">
        <v>5.0999999999999996</v>
      </c>
      <c r="AD2" s="21">
        <v>9.1999999999999993</v>
      </c>
      <c r="AE2" s="18">
        <v>2.4</v>
      </c>
      <c r="AF2" s="21">
        <v>7.8</v>
      </c>
      <c r="AG2" s="3">
        <v>1753</v>
      </c>
      <c r="AH2" s="3">
        <v>1285</v>
      </c>
      <c r="AI2" s="3">
        <v>404</v>
      </c>
      <c r="AJ2" s="3">
        <v>422</v>
      </c>
      <c r="AK2" s="3">
        <v>115</v>
      </c>
      <c r="AL2" s="3">
        <v>542</v>
      </c>
      <c r="AM2" s="3">
        <v>688</v>
      </c>
      <c r="AN2" s="3">
        <v>29</v>
      </c>
      <c r="AO2" s="3">
        <v>189</v>
      </c>
      <c r="AP2" s="3">
        <v>-888</v>
      </c>
      <c r="AQ2" s="3">
        <v>-888</v>
      </c>
      <c r="AR2" s="3">
        <v>37</v>
      </c>
      <c r="AS2" s="3">
        <v>33</v>
      </c>
      <c r="AT2" s="3">
        <v>-888</v>
      </c>
      <c r="AU2" s="3">
        <v>-888</v>
      </c>
      <c r="AV2" s="3">
        <v>-888</v>
      </c>
      <c r="AW2" s="3">
        <v>-888</v>
      </c>
      <c r="AX2" s="3">
        <v>-888</v>
      </c>
      <c r="AY2" s="3">
        <v>-888</v>
      </c>
      <c r="AZ2" s="3">
        <v>-888</v>
      </c>
      <c r="BA2" s="3">
        <v>-888</v>
      </c>
      <c r="BB2" s="3">
        <v>111</v>
      </c>
      <c r="BC2" s="3">
        <v>119</v>
      </c>
      <c r="BD2" s="3">
        <v>-888</v>
      </c>
      <c r="BE2" s="3">
        <v>-888</v>
      </c>
      <c r="BF2" s="3">
        <v>-888</v>
      </c>
      <c r="BG2" s="3">
        <v>-888</v>
      </c>
      <c r="BH2" s="3">
        <v>-888</v>
      </c>
      <c r="BI2" s="3">
        <v>-888</v>
      </c>
      <c r="BJ2" s="3">
        <v>-888</v>
      </c>
      <c r="BK2" s="3">
        <v>-888</v>
      </c>
      <c r="BL2" s="3">
        <v>-888</v>
      </c>
      <c r="BM2" s="3">
        <v>-888</v>
      </c>
      <c r="BN2" s="3">
        <v>-888</v>
      </c>
      <c r="BO2" s="12">
        <v>314</v>
      </c>
      <c r="BP2" s="3">
        <v>59</v>
      </c>
      <c r="BQ2" s="3">
        <v>-888</v>
      </c>
      <c r="BR2" s="3">
        <v>-888</v>
      </c>
      <c r="BS2" s="3">
        <v>-888</v>
      </c>
      <c r="BT2" s="3">
        <v>-888</v>
      </c>
      <c r="BU2" s="3">
        <v>-888</v>
      </c>
      <c r="BV2" s="3">
        <v>-888</v>
      </c>
      <c r="BW2" s="3">
        <v>-888</v>
      </c>
      <c r="BX2" s="3">
        <v>-888</v>
      </c>
      <c r="BY2" s="3">
        <v>-888</v>
      </c>
      <c r="BZ2" s="3">
        <v>26</v>
      </c>
      <c r="CA2" s="3">
        <v>78</v>
      </c>
      <c r="CB2" s="3">
        <v>78</v>
      </c>
      <c r="CC2" s="3">
        <v>-888</v>
      </c>
      <c r="CD2" s="3">
        <v>2345</v>
      </c>
      <c r="CE2" s="3">
        <v>2438</v>
      </c>
      <c r="CF2" s="3">
        <v>1027</v>
      </c>
      <c r="CG2" s="3">
        <v>173</v>
      </c>
      <c r="CH2" s="3">
        <v>393</v>
      </c>
      <c r="CI2" s="3">
        <v>4247</v>
      </c>
      <c r="CJ2" s="3">
        <v>1292</v>
      </c>
      <c r="CK2" s="3">
        <v>-999</v>
      </c>
      <c r="CL2" s="3">
        <v>58</v>
      </c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23"/>
      <c r="CZ2" s="23"/>
      <c r="DA2" s="23"/>
      <c r="DB2" s="54"/>
      <c r="DC2" s="23"/>
      <c r="DD2" s="54">
        <f ca="1">DD2:DI2</f>
        <v>0</v>
      </c>
      <c r="DE2" s="54"/>
      <c r="DF2" s="54"/>
      <c r="DG2" s="91"/>
      <c r="DH2" s="54"/>
      <c r="DJ2" s="54"/>
      <c r="DN2" s="1">
        <f>CX2-DH2</f>
        <v>0</v>
      </c>
      <c r="DP2" s="2"/>
    </row>
    <row r="3" spans="1:124" ht="12.5" customHeight="1" x14ac:dyDescent="0.35">
      <c r="A3" s="76" t="s">
        <v>51</v>
      </c>
      <c r="B3" s="1">
        <v>1</v>
      </c>
      <c r="C3" s="6">
        <v>42341</v>
      </c>
      <c r="D3" s="7">
        <v>0.60416666666666663</v>
      </c>
      <c r="E3" t="s">
        <v>259</v>
      </c>
      <c r="F3" t="s">
        <v>260</v>
      </c>
      <c r="G3" s="1" t="s">
        <v>94</v>
      </c>
      <c r="H3" s="9" t="s">
        <v>158</v>
      </c>
      <c r="I3" s="1" t="s">
        <v>86</v>
      </c>
      <c r="J3" s="1">
        <v>2</v>
      </c>
      <c r="K3" s="13">
        <v>8.8179999999999996</v>
      </c>
      <c r="L3" s="13">
        <f t="shared" ref="L3:L10" si="0">K3-$L$2</f>
        <v>6.9166666666666661</v>
      </c>
      <c r="M3" s="14">
        <v>326.57</v>
      </c>
      <c r="N3" s="14">
        <f t="shared" ref="N3:N10" si="1">M3-$N$2</f>
        <v>326.47499999999997</v>
      </c>
      <c r="O3" s="33">
        <v>5051</v>
      </c>
      <c r="P3" s="5">
        <f t="shared" ref="P3:P10" si="2">O3-$P$2</f>
        <v>4642</v>
      </c>
      <c r="Q3" s="37">
        <f t="shared" ref="Q3:Q9" si="3">P3/(P3+N3)</f>
        <v>0.93429070288166882</v>
      </c>
      <c r="R3" s="37">
        <f t="shared" ref="R3:R9" si="4">L3/(L3+N3+P3)</f>
        <v>1.3901753128313181E-3</v>
      </c>
      <c r="S3" s="38">
        <f t="shared" ref="S3:S9" si="5">N3/(N3+L3+P3)</f>
        <v>6.5617949675653667E-2</v>
      </c>
      <c r="T3" s="37">
        <f t="shared" ref="T3:T9" si="6">P3/(P3+N3+L3)</f>
        <v>0.93299187501151493</v>
      </c>
      <c r="U3" s="8">
        <v>20.5</v>
      </c>
      <c r="V3" s="3">
        <v>7602</v>
      </c>
      <c r="W3" s="3">
        <v>250</v>
      </c>
      <c r="X3" s="3">
        <v>55332</v>
      </c>
      <c r="Y3" s="21">
        <v>242.6</v>
      </c>
      <c r="Z3" s="18">
        <v>14.6</v>
      </c>
      <c r="AA3" s="21">
        <v>45.6</v>
      </c>
      <c r="AB3" s="21">
        <v>3422.2</v>
      </c>
      <c r="AC3" s="21">
        <v>121.8</v>
      </c>
      <c r="AD3" s="21">
        <v>61.2</v>
      </c>
      <c r="AE3" s="18">
        <v>16.5</v>
      </c>
      <c r="AF3" s="21">
        <v>123.6</v>
      </c>
      <c r="AG3" s="3">
        <v>451391</v>
      </c>
      <c r="AH3" s="3">
        <v>1711608</v>
      </c>
      <c r="AI3" s="3">
        <v>960329</v>
      </c>
      <c r="AJ3" s="3">
        <v>62724</v>
      </c>
      <c r="AK3" s="3">
        <v>319036</v>
      </c>
      <c r="AL3" s="3">
        <v>3190</v>
      </c>
      <c r="AM3" s="3">
        <v>9657</v>
      </c>
      <c r="AN3" s="3">
        <v>55828</v>
      </c>
      <c r="AO3" s="3">
        <v>22298</v>
      </c>
      <c r="AP3" s="3">
        <v>11393</v>
      </c>
      <c r="AQ3" s="3">
        <v>8527</v>
      </c>
      <c r="AR3" s="3">
        <v>843</v>
      </c>
      <c r="AS3" s="3">
        <v>3793</v>
      </c>
      <c r="AT3" s="3">
        <v>35916</v>
      </c>
      <c r="AU3" s="3">
        <v>22455</v>
      </c>
      <c r="AV3" s="3">
        <v>65445</v>
      </c>
      <c r="AW3" s="3">
        <v>5333</v>
      </c>
      <c r="AX3" s="3">
        <v>3127</v>
      </c>
      <c r="AY3" s="3">
        <v>20204</v>
      </c>
      <c r="AZ3" s="3">
        <v>1820</v>
      </c>
      <c r="BA3" s="3">
        <v>3671</v>
      </c>
      <c r="BB3" s="3">
        <v>7583</v>
      </c>
      <c r="BC3" s="3">
        <v>286</v>
      </c>
      <c r="BD3" s="3">
        <v>3440</v>
      </c>
      <c r="BE3" s="3">
        <v>2392</v>
      </c>
      <c r="BF3" s="3">
        <v>2918</v>
      </c>
      <c r="BG3" s="3">
        <v>3735</v>
      </c>
      <c r="BH3" s="3">
        <v>4780</v>
      </c>
      <c r="BI3" s="3">
        <v>3237</v>
      </c>
      <c r="BJ3" s="3">
        <v>10931</v>
      </c>
      <c r="BK3" s="3">
        <v>3971</v>
      </c>
      <c r="BL3" s="3">
        <v>2181</v>
      </c>
      <c r="BM3" s="3">
        <v>1321</v>
      </c>
      <c r="BN3" s="3">
        <v>191</v>
      </c>
      <c r="BO3" s="12">
        <v>131195</v>
      </c>
      <c r="BP3" s="3">
        <v>45301</v>
      </c>
      <c r="BQ3" s="3">
        <v>4392</v>
      </c>
      <c r="BR3" s="3">
        <v>8923</v>
      </c>
      <c r="BS3" s="3">
        <v>4027</v>
      </c>
      <c r="BT3" s="3">
        <v>4909</v>
      </c>
      <c r="BU3" s="3">
        <v>156</v>
      </c>
      <c r="BV3" s="3">
        <v>381</v>
      </c>
      <c r="BW3" s="3">
        <v>629</v>
      </c>
      <c r="BX3" s="3">
        <v>385</v>
      </c>
      <c r="BY3" s="3">
        <v>359</v>
      </c>
      <c r="BZ3" s="3">
        <v>278</v>
      </c>
      <c r="CA3" s="3">
        <v>3887</v>
      </c>
      <c r="CB3" s="3">
        <v>477</v>
      </c>
      <c r="CC3" s="3">
        <v>-888</v>
      </c>
      <c r="CD3" s="3">
        <v>638514</v>
      </c>
      <c r="CE3" s="3">
        <v>89640</v>
      </c>
      <c r="CF3" s="3">
        <v>26398</v>
      </c>
      <c r="CG3" s="3">
        <v>17445</v>
      </c>
      <c r="CH3" s="3">
        <v>23043</v>
      </c>
      <c r="CI3" s="3">
        <v>1268757</v>
      </c>
      <c r="CJ3" s="3">
        <v>21353</v>
      </c>
      <c r="CK3" s="3">
        <v>54075</v>
      </c>
      <c r="CL3" s="3">
        <v>17124</v>
      </c>
      <c r="CM3" s="2">
        <f>P3/(P3+N3)</f>
        <v>0.93429070288166882</v>
      </c>
      <c r="CN3" s="2">
        <f>L3/(L3+N3+P3)</f>
        <v>1.3901753128313181E-3</v>
      </c>
      <c r="CO3" s="2">
        <f>CN3*666.6</f>
        <v>0.92669086353335672</v>
      </c>
      <c r="CP3" s="1">
        <v>1</v>
      </c>
      <c r="CQ3" s="1">
        <v>0</v>
      </c>
      <c r="CR3" s="1">
        <v>1</v>
      </c>
      <c r="CS3" s="1">
        <v>31.2</v>
      </c>
      <c r="CT3" s="1">
        <v>31.7</v>
      </c>
      <c r="CU3" s="1">
        <v>2</v>
      </c>
      <c r="CV3" s="1">
        <v>2</v>
      </c>
      <c r="CW3" s="1">
        <v>3</v>
      </c>
      <c r="CX3" s="1">
        <v>0.253</v>
      </c>
      <c r="CY3" s="1">
        <v>0.75</v>
      </c>
      <c r="CZ3" s="1">
        <v>2</v>
      </c>
      <c r="DA3" s="1">
        <v>85</v>
      </c>
      <c r="DB3" s="1">
        <v>0.53749999999999998</v>
      </c>
      <c r="DC3" s="1">
        <v>1</v>
      </c>
      <c r="DD3" s="1">
        <v>1</v>
      </c>
      <c r="DE3" s="1">
        <v>240</v>
      </c>
      <c r="DF3" s="1">
        <f>10/DE3</f>
        <v>4.1666666666666664E-2</v>
      </c>
      <c r="DG3" s="92">
        <v>20000</v>
      </c>
      <c r="DH3" s="9">
        <f>CX3</f>
        <v>0.253</v>
      </c>
      <c r="DI3" s="1">
        <f t="shared" ref="DI3:DI12" si="7">DH3-(DH3*DP3)</f>
        <v>0.24096515548764255</v>
      </c>
      <c r="DJ3" s="1">
        <v>1</v>
      </c>
      <c r="DK3" s="1">
        <f t="shared" ref="DK3:DK9" si="8">CO3</f>
        <v>0.92669086353335672</v>
      </c>
      <c r="DL3" s="1">
        <f>S3*1166.6</f>
        <v>76.549900091617559</v>
      </c>
      <c r="DM3" s="1">
        <f>T3* 1833.1</f>
        <v>1710.267406083608</v>
      </c>
      <c r="DN3" s="1">
        <v>0</v>
      </c>
      <c r="DO3" s="1">
        <f t="shared" ref="DO3:DO13" si="9">DK3*DI3*DT3*DA3/100</f>
        <v>0.10202028253927135</v>
      </c>
      <c r="DP3" s="1">
        <f>DQ3/100+DN3</f>
        <v>4.7568555384812035E-2</v>
      </c>
      <c r="DQ3" s="1">
        <f t="shared" ref="DQ3:DQ12" si="10">5.658+0.04651*CS3+3.151*10^-4*CS3^3*CT3^-1-0.1854*CT3^0.77</f>
        <v>4.7568555384812035</v>
      </c>
      <c r="DR3" s="82">
        <f t="shared" ref="DR3:DR44" si="11">DT3*DI3*DF3*DG3</f>
        <v>107.93230922883987</v>
      </c>
      <c r="DS3" s="82">
        <f t="shared" ref="DS3:DS12" si="12">DI3-DI3*DB3</f>
        <v>0.1114463844130347</v>
      </c>
      <c r="DT3" s="2">
        <f t="shared" ref="DT3:DT12" si="13">(DI3-DS3)/DI3</f>
        <v>0.53749999999999987</v>
      </c>
    </row>
    <row r="4" spans="1:124" ht="14.5" customHeight="1" x14ac:dyDescent="0.35">
      <c r="A4" s="65" t="s">
        <v>49</v>
      </c>
      <c r="B4" s="1">
        <v>1</v>
      </c>
      <c r="C4" s="6">
        <v>42341</v>
      </c>
      <c r="D4" s="7">
        <v>0.15138888888888888</v>
      </c>
      <c r="E4" s="35" t="s">
        <v>261</v>
      </c>
      <c r="F4" s="35" t="s">
        <v>262</v>
      </c>
      <c r="G4" s="1" t="s">
        <v>85</v>
      </c>
      <c r="H4" s="9" t="s">
        <v>209</v>
      </c>
      <c r="I4" s="1" t="s">
        <v>255</v>
      </c>
      <c r="J4" s="1">
        <v>2</v>
      </c>
      <c r="K4" s="13">
        <v>30.01</v>
      </c>
      <c r="L4" s="13">
        <f t="shared" si="0"/>
        <v>28.108666666666668</v>
      </c>
      <c r="M4" s="14">
        <v>686.04</v>
      </c>
      <c r="N4" s="14">
        <f t="shared" si="1"/>
        <v>685.94499999999994</v>
      </c>
      <c r="O4" s="33">
        <v>9812</v>
      </c>
      <c r="P4" s="33">
        <f t="shared" si="2"/>
        <v>9403</v>
      </c>
      <c r="Q4" s="70">
        <f t="shared" si="3"/>
        <v>0.93201023496510293</v>
      </c>
      <c r="R4" s="70">
        <f t="shared" si="4"/>
        <v>2.7783451183300699E-3</v>
      </c>
      <c r="S4" s="30">
        <f t="shared" si="5"/>
        <v>6.7800866003115981E-2</v>
      </c>
      <c r="T4" s="70">
        <f t="shared" si="6"/>
        <v>0.92942078887855395</v>
      </c>
      <c r="U4" s="71">
        <v>-999</v>
      </c>
      <c r="V4" s="3">
        <v>27065</v>
      </c>
      <c r="W4" s="3">
        <v>437</v>
      </c>
      <c r="X4" s="3">
        <v>540750</v>
      </c>
      <c r="Y4" s="21">
        <v>1295.8</v>
      </c>
      <c r="Z4" s="72">
        <v>499.9</v>
      </c>
      <c r="AA4" s="21">
        <v>512</v>
      </c>
      <c r="AB4" s="21">
        <v>125760.2</v>
      </c>
      <c r="AC4" s="21">
        <v>3985</v>
      </c>
      <c r="AD4" s="21">
        <v>1259.7</v>
      </c>
      <c r="AE4" s="72">
        <v>434.1</v>
      </c>
      <c r="AF4" s="21">
        <v>357.1</v>
      </c>
      <c r="AG4" s="3">
        <v>1335583</v>
      </c>
      <c r="AH4" s="3">
        <v>11078060</v>
      </c>
      <c r="AI4" s="3">
        <v>14444444</v>
      </c>
      <c r="AJ4" s="3">
        <v>181881</v>
      </c>
      <c r="AK4" s="3">
        <v>1606041</v>
      </c>
      <c r="AL4" s="3">
        <v>8272</v>
      </c>
      <c r="AM4" s="3">
        <v>25251</v>
      </c>
      <c r="AN4" s="3">
        <v>230174</v>
      </c>
      <c r="AO4" s="3">
        <v>92263</v>
      </c>
      <c r="AP4" s="3">
        <v>37226</v>
      </c>
      <c r="AQ4" s="3">
        <v>28183</v>
      </c>
      <c r="AR4" s="3">
        <v>2535</v>
      </c>
      <c r="AS4" s="3">
        <v>5658</v>
      </c>
      <c r="AT4" s="3">
        <v>39949</v>
      </c>
      <c r="AU4" s="3">
        <v>160991</v>
      </c>
      <c r="AV4" s="3">
        <v>497011</v>
      </c>
      <c r="AW4" s="3">
        <v>30258</v>
      </c>
      <c r="AX4" s="3">
        <v>13753</v>
      </c>
      <c r="AY4" s="3">
        <v>206351</v>
      </c>
      <c r="AZ4" s="3">
        <v>75320</v>
      </c>
      <c r="BA4" s="3">
        <v>19130</v>
      </c>
      <c r="BB4" s="3">
        <v>32575</v>
      </c>
      <c r="BC4" s="3">
        <v>-999</v>
      </c>
      <c r="BD4" s="3">
        <v>14400</v>
      </c>
      <c r="BE4" s="3">
        <v>9278</v>
      </c>
      <c r="BF4" s="3">
        <v>14698</v>
      </c>
      <c r="BG4" s="3">
        <v>11243</v>
      </c>
      <c r="BH4" s="3">
        <v>10842</v>
      </c>
      <c r="BI4" s="3">
        <v>12215</v>
      </c>
      <c r="BJ4" s="3">
        <v>51410</v>
      </c>
      <c r="BK4" s="3">
        <v>16899</v>
      </c>
      <c r="BL4" s="3">
        <v>9860</v>
      </c>
      <c r="BM4" s="3">
        <v>3405</v>
      </c>
      <c r="BN4" s="3">
        <v>631</v>
      </c>
      <c r="BO4" s="34">
        <v>2397002</v>
      </c>
      <c r="BP4" s="3">
        <v>380963</v>
      </c>
      <c r="BQ4" s="3">
        <v>41175</v>
      </c>
      <c r="BR4" s="3">
        <v>131288</v>
      </c>
      <c r="BS4" s="3">
        <v>17148</v>
      </c>
      <c r="BT4" s="3">
        <v>35663</v>
      </c>
      <c r="BU4" s="3">
        <v>2134</v>
      </c>
      <c r="BV4" s="3">
        <v>2052</v>
      </c>
      <c r="BW4" s="3">
        <v>4494</v>
      </c>
      <c r="BX4" s="3">
        <v>2606</v>
      </c>
      <c r="BY4" s="3">
        <v>2838</v>
      </c>
      <c r="BZ4" s="3">
        <v>-999</v>
      </c>
      <c r="CA4" s="3">
        <v>35449</v>
      </c>
      <c r="CB4" s="3">
        <v>2117</v>
      </c>
      <c r="CC4" s="3">
        <v>417</v>
      </c>
      <c r="CD4" s="3">
        <v>2614552</v>
      </c>
      <c r="CE4" s="3">
        <v>316896</v>
      </c>
      <c r="CF4" s="3">
        <v>92598</v>
      </c>
      <c r="CG4" s="3">
        <v>82067</v>
      </c>
      <c r="CH4" s="3">
        <v>207376</v>
      </c>
      <c r="CI4" s="3">
        <v>1830051</v>
      </c>
      <c r="CJ4" s="3">
        <v>49499</v>
      </c>
      <c r="CK4" s="3">
        <v>173289</v>
      </c>
      <c r="CL4" s="3">
        <v>48328</v>
      </c>
      <c r="CM4" s="2">
        <f>P4/(P4+N4)</f>
        <v>0.93201023496510293</v>
      </c>
      <c r="CN4" s="2">
        <f>L4/(L4+N4+P4)</f>
        <v>2.7783451183300699E-3</v>
      </c>
      <c r="CO4" s="2">
        <f t="shared" ref="CO4:CO9" si="14">CN4*666.6</f>
        <v>1.8520448558788247</v>
      </c>
      <c r="CP4" s="1">
        <v>1</v>
      </c>
      <c r="CQ4" s="58">
        <v>0.75</v>
      </c>
      <c r="CR4" s="58">
        <v>1</v>
      </c>
      <c r="CS4" s="58">
        <v>29.3</v>
      </c>
      <c r="CT4" s="58">
        <v>31.2</v>
      </c>
      <c r="CU4" s="58">
        <v>5</v>
      </c>
      <c r="CV4" s="58">
        <v>5</v>
      </c>
      <c r="CW4" s="58">
        <v>2</v>
      </c>
      <c r="CX4" s="73">
        <v>0.6150000000000001</v>
      </c>
      <c r="CY4" s="74">
        <v>0.5</v>
      </c>
      <c r="CZ4" s="58">
        <v>2</v>
      </c>
      <c r="DA4" s="75">
        <v>50</v>
      </c>
      <c r="DB4" s="85">
        <v>0.73010000000000008</v>
      </c>
      <c r="DC4" s="59">
        <f>0</f>
        <v>0</v>
      </c>
      <c r="DD4" s="78">
        <v>1</v>
      </c>
      <c r="DE4" s="67">
        <v>1440</v>
      </c>
      <c r="DF4" s="1">
        <f>10/DE4</f>
        <v>6.9444444444444441E-3</v>
      </c>
      <c r="DG4" s="97">
        <v>20000</v>
      </c>
      <c r="DH4" s="9">
        <f t="shared" ref="DH4:DH35" si="15">CX4</f>
        <v>0.6150000000000001</v>
      </c>
      <c r="DI4" s="1">
        <f t="shared" si="7"/>
        <v>0.58638451597001273</v>
      </c>
      <c r="DJ4" s="1">
        <v>1</v>
      </c>
      <c r="DK4" s="1">
        <f t="shared" si="8"/>
        <v>1.8520448558788247</v>
      </c>
      <c r="DL4" s="1">
        <f>S4*1166.6</f>
        <v>79.096490279235098</v>
      </c>
      <c r="DM4" s="1">
        <f>T4* 1833.1</f>
        <v>1703.7212480932772</v>
      </c>
      <c r="DN4" s="1">
        <v>0</v>
      </c>
      <c r="DO4" s="1">
        <f t="shared" si="9"/>
        <v>0.39644810614609727</v>
      </c>
      <c r="DP4" s="1">
        <f>DQ4/100+(1-(DH4/CX4))+DN4</f>
        <v>4.6529242325182699E-2</v>
      </c>
      <c r="DQ4" s="1">
        <f t="shared" si="10"/>
        <v>4.65292423251827</v>
      </c>
      <c r="DR4" s="82">
        <f t="shared" si="11"/>
        <v>59.461018765236986</v>
      </c>
      <c r="DS4" s="82">
        <f t="shared" si="12"/>
        <v>0.15826518086030639</v>
      </c>
      <c r="DT4" s="2">
        <f t="shared" si="13"/>
        <v>0.73010000000000008</v>
      </c>
    </row>
    <row r="5" spans="1:124" ht="16.5" x14ac:dyDescent="0.35">
      <c r="A5" s="65" t="s">
        <v>42</v>
      </c>
      <c r="B5" s="1">
        <v>2</v>
      </c>
      <c r="C5" s="6">
        <v>42372</v>
      </c>
      <c r="D5" s="7">
        <v>0.66666666666666663</v>
      </c>
      <c r="E5" t="s">
        <v>263</v>
      </c>
      <c r="F5" t="s">
        <v>264</v>
      </c>
      <c r="G5" s="1" t="s">
        <v>82</v>
      </c>
      <c r="H5" s="1" t="s">
        <v>159</v>
      </c>
      <c r="I5" s="1" t="s">
        <v>77</v>
      </c>
      <c r="J5" s="1">
        <v>2</v>
      </c>
      <c r="K5" s="13">
        <v>10.637</v>
      </c>
      <c r="L5" s="13">
        <f t="shared" si="0"/>
        <v>8.7356666666666669</v>
      </c>
      <c r="M5" s="14">
        <v>429.7</v>
      </c>
      <c r="N5" s="14">
        <f t="shared" si="1"/>
        <v>429.60499999999996</v>
      </c>
      <c r="O5" s="33">
        <v>12070</v>
      </c>
      <c r="P5" s="5">
        <f t="shared" si="2"/>
        <v>11661</v>
      </c>
      <c r="Q5" s="37">
        <f t="shared" si="3"/>
        <v>0.96446786575196197</v>
      </c>
      <c r="R5" s="37">
        <f t="shared" si="4"/>
        <v>7.2199526464555006E-4</v>
      </c>
      <c r="S5" s="38">
        <f t="shared" si="5"/>
        <v>3.5506480215368202E-2</v>
      </c>
      <c r="T5" s="37">
        <f t="shared" si="6"/>
        <v>0.96377152451998627</v>
      </c>
      <c r="U5" s="8">
        <v>-999</v>
      </c>
      <c r="V5" s="10">
        <v>12776</v>
      </c>
      <c r="W5" s="10">
        <v>1370</v>
      </c>
      <c r="X5" s="3">
        <v>304591</v>
      </c>
      <c r="Y5" s="21">
        <v>1112</v>
      </c>
      <c r="Z5" s="18">
        <v>224.9</v>
      </c>
      <c r="AA5" s="22">
        <v>484.4</v>
      </c>
      <c r="AB5" s="22">
        <v>91496.8</v>
      </c>
      <c r="AC5" s="22">
        <v>4097.2</v>
      </c>
      <c r="AD5" s="22">
        <v>1645</v>
      </c>
      <c r="AE5" s="18">
        <v>374.5</v>
      </c>
      <c r="AF5" s="21">
        <v>583.79999999999995</v>
      </c>
      <c r="AG5" s="3">
        <v>643518</v>
      </c>
      <c r="AH5" s="3">
        <v>4715520</v>
      </c>
      <c r="AI5" s="3">
        <v>3160215</v>
      </c>
      <c r="AJ5" s="3">
        <v>87408</v>
      </c>
      <c r="AK5" s="3">
        <v>846384</v>
      </c>
      <c r="AL5" s="3">
        <v>4168</v>
      </c>
      <c r="AM5" s="3">
        <v>10219</v>
      </c>
      <c r="AN5" s="3">
        <v>133274</v>
      </c>
      <c r="AO5" s="3">
        <v>43630</v>
      </c>
      <c r="AP5" s="3">
        <v>20940</v>
      </c>
      <c r="AQ5" s="3">
        <v>16239</v>
      </c>
      <c r="AR5" s="3">
        <v>1111</v>
      </c>
      <c r="AS5" s="3">
        <v>2615</v>
      </c>
      <c r="AT5" s="3">
        <v>21971</v>
      </c>
      <c r="AU5" s="3">
        <v>66825</v>
      </c>
      <c r="AV5" s="3">
        <v>186842</v>
      </c>
      <c r="AW5" s="3">
        <v>19538</v>
      </c>
      <c r="AX5" s="3">
        <v>12821</v>
      </c>
      <c r="AY5" s="3">
        <v>50147</v>
      </c>
      <c r="AZ5" s="3">
        <v>10849</v>
      </c>
      <c r="BA5" s="3">
        <v>8958</v>
      </c>
      <c r="BB5" s="3">
        <v>23792</v>
      </c>
      <c r="BC5" s="3">
        <v>-999</v>
      </c>
      <c r="BD5" s="3">
        <v>13938</v>
      </c>
      <c r="BE5" s="3">
        <v>11560</v>
      </c>
      <c r="BF5" s="3">
        <v>8982</v>
      </c>
      <c r="BG5" s="3">
        <v>9842</v>
      </c>
      <c r="BH5" s="3">
        <v>6363</v>
      </c>
      <c r="BI5" s="3">
        <v>9211</v>
      </c>
      <c r="BJ5" s="3">
        <v>65885</v>
      </c>
      <c r="BK5" s="3">
        <v>19733</v>
      </c>
      <c r="BL5" s="3">
        <v>12315</v>
      </c>
      <c r="BM5" s="3">
        <v>3960</v>
      </c>
      <c r="BN5" s="10">
        <v>792</v>
      </c>
      <c r="BO5" s="12">
        <v>1617100</v>
      </c>
      <c r="BP5" s="3">
        <v>594295</v>
      </c>
      <c r="BQ5" s="3">
        <v>53447</v>
      </c>
      <c r="BR5" s="3">
        <v>96998</v>
      </c>
      <c r="BS5" s="3">
        <v>31273</v>
      </c>
      <c r="BT5" s="3">
        <v>42910</v>
      </c>
      <c r="BU5" s="3">
        <v>4342</v>
      </c>
      <c r="BV5" s="3">
        <v>5594</v>
      </c>
      <c r="BW5" s="10">
        <v>14918</v>
      </c>
      <c r="BX5" s="10">
        <v>9714</v>
      </c>
      <c r="BY5" s="10">
        <v>8398</v>
      </c>
      <c r="BZ5" s="3">
        <v>-999</v>
      </c>
      <c r="CA5" s="3">
        <v>42370</v>
      </c>
      <c r="CB5" s="3">
        <v>-999</v>
      </c>
      <c r="CC5" s="10">
        <v>-999</v>
      </c>
      <c r="CD5" s="3">
        <v>4772016</v>
      </c>
      <c r="CE5" s="3">
        <v>972933</v>
      </c>
      <c r="CF5" s="3">
        <v>286057</v>
      </c>
      <c r="CG5" s="3">
        <v>168906</v>
      </c>
      <c r="CH5" s="3">
        <v>379941</v>
      </c>
      <c r="CI5" s="3">
        <v>34826453</v>
      </c>
      <c r="CJ5" s="3">
        <v>407947</v>
      </c>
      <c r="CK5" s="3">
        <v>193590</v>
      </c>
      <c r="CL5" s="3">
        <v>116029</v>
      </c>
      <c r="CM5" s="2">
        <f>P5/(P5+N5)</f>
        <v>0.96446786575196197</v>
      </c>
      <c r="CN5" s="2">
        <f>L5/(L5+N5+P5)</f>
        <v>7.2199526464555006E-4</v>
      </c>
      <c r="CO5" s="2">
        <f t="shared" si="14"/>
        <v>0.48128204341272368</v>
      </c>
      <c r="CP5" s="1">
        <v>2</v>
      </c>
      <c r="CQ5" s="1">
        <v>1.6</v>
      </c>
      <c r="CR5" s="1">
        <v>0.89</v>
      </c>
      <c r="CS5" s="1">
        <v>31.5</v>
      </c>
      <c r="CT5" s="1">
        <v>29.4</v>
      </c>
      <c r="CU5" s="1">
        <v>1</v>
      </c>
      <c r="CV5" s="1">
        <v>2</v>
      </c>
      <c r="CW5" s="1">
        <v>1</v>
      </c>
      <c r="CX5" s="1">
        <v>0.49833</v>
      </c>
      <c r="CY5" s="1">
        <v>1</v>
      </c>
      <c r="CZ5" s="1">
        <v>2</v>
      </c>
      <c r="DA5" s="1">
        <v>98</v>
      </c>
      <c r="DB5" s="1">
        <v>0.94379999999999997</v>
      </c>
      <c r="DC5" s="1">
        <v>1</v>
      </c>
      <c r="DD5" s="1">
        <v>0</v>
      </c>
      <c r="DE5" s="1">
        <v>780</v>
      </c>
      <c r="DF5" s="1">
        <f t="shared" ref="DF5:DF9" si="16">10/DE5</f>
        <v>1.282051282051282E-2</v>
      </c>
      <c r="DG5" s="92">
        <v>20000</v>
      </c>
      <c r="DH5" s="9">
        <f t="shared" si="15"/>
        <v>0.49833</v>
      </c>
      <c r="DI5" s="1">
        <f t="shared" si="7"/>
        <v>0.34906290972772691</v>
      </c>
      <c r="DJ5" s="1">
        <v>1</v>
      </c>
      <c r="DK5" s="1">
        <f t="shared" si="8"/>
        <v>0.48128204341272368</v>
      </c>
      <c r="DL5" s="1">
        <f>S5*1166.6</f>
        <v>41.421859819248539</v>
      </c>
      <c r="DM5" s="1">
        <f>T5* 1833.1</f>
        <v>1766.6895815975868</v>
      </c>
      <c r="DN5" s="1">
        <v>0.25</v>
      </c>
      <c r="DO5" s="1">
        <f t="shared" si="9"/>
        <v>0.15538511436185418</v>
      </c>
      <c r="DP5" s="1">
        <f t="shared" ref="DP5:DP12" si="17">DQ5/100+(1-(DH5/CX5))+DN5</f>
        <v>0.29953462619604088</v>
      </c>
      <c r="DQ5" s="1">
        <f t="shared" si="10"/>
        <v>4.953462619604089</v>
      </c>
      <c r="DR5" s="82">
        <f t="shared" si="11"/>
        <v>84.4732241541099</v>
      </c>
      <c r="DS5" s="82">
        <f t="shared" si="12"/>
        <v>1.9617335526698254E-2</v>
      </c>
      <c r="DT5" s="2">
        <f t="shared" si="13"/>
        <v>0.94379999999999997</v>
      </c>
    </row>
    <row r="6" spans="1:124" ht="16.5" x14ac:dyDescent="0.35">
      <c r="A6" s="65" t="s">
        <v>35</v>
      </c>
      <c r="B6" s="1">
        <v>2</v>
      </c>
      <c r="C6" s="6">
        <v>42372</v>
      </c>
      <c r="D6" s="17">
        <v>0.625</v>
      </c>
      <c r="E6" s="98" t="s">
        <v>316</v>
      </c>
      <c r="F6" s="98" t="s">
        <v>317</v>
      </c>
      <c r="G6" s="1" t="s">
        <v>82</v>
      </c>
      <c r="H6" s="1" t="s">
        <v>160</v>
      </c>
      <c r="I6" s="1" t="s">
        <v>73</v>
      </c>
      <c r="J6" s="1">
        <v>2</v>
      </c>
      <c r="K6" s="13">
        <v>10.336</v>
      </c>
      <c r="L6" s="13">
        <f t="shared" si="0"/>
        <v>8.4346666666666668</v>
      </c>
      <c r="M6" s="14">
        <v>285.08999999999997</v>
      </c>
      <c r="N6" s="14">
        <f t="shared" si="1"/>
        <v>284.99499999999995</v>
      </c>
      <c r="O6" s="33">
        <v>4490</v>
      </c>
      <c r="P6" s="5">
        <f t="shared" si="2"/>
        <v>4081</v>
      </c>
      <c r="Q6" s="37">
        <f t="shared" si="3"/>
        <v>0.93472392890967582</v>
      </c>
      <c r="R6" s="37">
        <f t="shared" si="4"/>
        <v>1.9281751701116998E-3</v>
      </c>
      <c r="S6" s="38">
        <f t="shared" si="5"/>
        <v>6.5150207390845372E-2</v>
      </c>
      <c r="T6" s="37">
        <f t="shared" si="6"/>
        <v>0.93292161743904289</v>
      </c>
      <c r="U6" s="8">
        <v>35.4</v>
      </c>
      <c r="V6" s="10">
        <v>10170</v>
      </c>
      <c r="W6" s="10">
        <v>284</v>
      </c>
      <c r="X6" s="3">
        <v>73213</v>
      </c>
      <c r="Y6" s="21">
        <v>316.39999999999998</v>
      </c>
      <c r="Z6" s="18">
        <v>62.4</v>
      </c>
      <c r="AA6" s="22">
        <v>164.7</v>
      </c>
      <c r="AB6" s="22">
        <v>6511.8</v>
      </c>
      <c r="AC6" s="22">
        <v>374.3</v>
      </c>
      <c r="AD6" s="22">
        <v>206.3</v>
      </c>
      <c r="AE6" s="18">
        <v>59.8</v>
      </c>
      <c r="AF6" s="21">
        <v>62.4</v>
      </c>
      <c r="AG6" s="3">
        <v>738813</v>
      </c>
      <c r="AH6" s="3">
        <v>2505781</v>
      </c>
      <c r="AI6" s="3">
        <v>1069169</v>
      </c>
      <c r="AJ6" s="3">
        <v>135327</v>
      </c>
      <c r="AK6" s="3">
        <v>624786</v>
      </c>
      <c r="AL6" s="3">
        <v>6027</v>
      </c>
      <c r="AM6" s="3">
        <v>23378</v>
      </c>
      <c r="AN6" s="3">
        <v>111550</v>
      </c>
      <c r="AO6" s="3">
        <v>46779</v>
      </c>
      <c r="AP6" s="3">
        <v>25420</v>
      </c>
      <c r="AQ6" s="3">
        <v>19548</v>
      </c>
      <c r="AR6" s="3">
        <v>2268</v>
      </c>
      <c r="AS6" s="3">
        <v>5603</v>
      </c>
      <c r="AT6" s="3">
        <v>51552</v>
      </c>
      <c r="AU6" s="3">
        <v>27954</v>
      </c>
      <c r="AV6" s="3">
        <v>82896</v>
      </c>
      <c r="AW6" s="3">
        <v>7573</v>
      </c>
      <c r="AX6" s="3">
        <v>4826</v>
      </c>
      <c r="AY6" s="3">
        <v>21986</v>
      </c>
      <c r="AZ6" s="3">
        <v>1593</v>
      </c>
      <c r="BA6" s="3">
        <v>5171</v>
      </c>
      <c r="BB6" s="3">
        <v>17386</v>
      </c>
      <c r="BC6" s="3">
        <v>193</v>
      </c>
      <c r="BD6" s="3">
        <v>8641</v>
      </c>
      <c r="BE6" s="3">
        <v>5793</v>
      </c>
      <c r="BF6" s="3">
        <v>7080</v>
      </c>
      <c r="BG6" s="3">
        <v>7678</v>
      </c>
      <c r="BH6" s="3">
        <v>5872</v>
      </c>
      <c r="BI6" s="3">
        <v>7803</v>
      </c>
      <c r="BJ6" s="3">
        <v>22777</v>
      </c>
      <c r="BK6" s="3">
        <v>8437</v>
      </c>
      <c r="BL6" s="3">
        <v>4239</v>
      </c>
      <c r="BM6" s="3">
        <v>2781</v>
      </c>
      <c r="BN6" s="10">
        <v>781</v>
      </c>
      <c r="BO6" s="12">
        <v>238131</v>
      </c>
      <c r="BP6" s="3">
        <v>121406</v>
      </c>
      <c r="BQ6" s="3">
        <v>9903</v>
      </c>
      <c r="BR6" s="3">
        <v>16184</v>
      </c>
      <c r="BS6" s="3">
        <v>7885</v>
      </c>
      <c r="BT6" s="3">
        <v>2879</v>
      </c>
      <c r="BU6" s="3">
        <v>540</v>
      </c>
      <c r="BV6" s="3">
        <v>822</v>
      </c>
      <c r="BW6" s="3">
        <v>2943</v>
      </c>
      <c r="BX6" s="3">
        <v>1324</v>
      </c>
      <c r="BY6" s="3">
        <v>1348</v>
      </c>
      <c r="BZ6" s="3">
        <v>521</v>
      </c>
      <c r="CA6" s="3">
        <v>6432</v>
      </c>
      <c r="CB6" s="3">
        <v>1005</v>
      </c>
      <c r="CC6" s="10">
        <v>-999</v>
      </c>
      <c r="CD6" s="10">
        <v>1531361</v>
      </c>
      <c r="CE6" s="10">
        <v>285114</v>
      </c>
      <c r="CF6" s="10">
        <v>98983</v>
      </c>
      <c r="CG6" s="10">
        <v>42979</v>
      </c>
      <c r="CH6" s="10">
        <v>52546</v>
      </c>
      <c r="CI6" s="10">
        <v>3276529</v>
      </c>
      <c r="CJ6" s="10">
        <v>37729</v>
      </c>
      <c r="CK6" s="3">
        <v>76304</v>
      </c>
      <c r="CL6" s="3">
        <v>25626</v>
      </c>
      <c r="CM6" s="2">
        <f>P6/(P6+N6)</f>
        <v>0.93472392890967582</v>
      </c>
      <c r="CN6" s="2">
        <f>L6/(L6+N6+P6)</f>
        <v>1.9281751701116998E-3</v>
      </c>
      <c r="CO6" s="2">
        <f t="shared" si="14"/>
        <v>1.2853215683964592</v>
      </c>
      <c r="CP6" s="1">
        <v>2</v>
      </c>
      <c r="CQ6" s="1">
        <v>1</v>
      </c>
      <c r="CR6" s="1">
        <v>0.64</v>
      </c>
      <c r="CS6" s="1">
        <v>30</v>
      </c>
      <c r="CT6" s="1">
        <v>29.6</v>
      </c>
      <c r="CU6" s="1">
        <v>1</v>
      </c>
      <c r="CV6" s="1">
        <v>2</v>
      </c>
      <c r="CW6" s="1">
        <v>1</v>
      </c>
      <c r="CX6" s="1">
        <v>0.40833000000000008</v>
      </c>
      <c r="CY6" s="1">
        <v>0.5</v>
      </c>
      <c r="CZ6" s="1">
        <v>2</v>
      </c>
      <c r="DA6" s="1">
        <v>80</v>
      </c>
      <c r="DB6" s="1">
        <v>0.79260000000000008</v>
      </c>
      <c r="DC6" s="1">
        <v>1</v>
      </c>
      <c r="DD6" s="1">
        <v>0</v>
      </c>
      <c r="DE6" s="1">
        <v>2040</v>
      </c>
      <c r="DF6" s="1">
        <f t="shared" si="16"/>
        <v>4.9019607843137254E-3</v>
      </c>
      <c r="DG6" s="92">
        <v>20000</v>
      </c>
      <c r="DH6" s="9">
        <f t="shared" si="15"/>
        <v>0.40833000000000008</v>
      </c>
      <c r="DI6" s="1">
        <f t="shared" si="7"/>
        <v>0.28655366175103958</v>
      </c>
      <c r="DJ6" s="1">
        <v>1</v>
      </c>
      <c r="DK6" s="1">
        <f t="shared" si="8"/>
        <v>1.2853215683964592</v>
      </c>
      <c r="DL6" s="1">
        <f>S6*1166.6</f>
        <v>76.004231942160203</v>
      </c>
      <c r="DM6" s="1">
        <f>T6* 1833.1</f>
        <v>1710.1386169275095</v>
      </c>
      <c r="DN6" s="1">
        <v>0.25</v>
      </c>
      <c r="DO6" s="1">
        <f t="shared" si="9"/>
        <v>0.23354028872546714</v>
      </c>
      <c r="DP6" s="1">
        <f t="shared" si="17"/>
        <v>0.29823020167256997</v>
      </c>
      <c r="DQ6" s="1">
        <f t="shared" si="10"/>
        <v>4.8230201672569954</v>
      </c>
      <c r="DR6" s="82">
        <f t="shared" si="11"/>
        <v>22.266905127830785</v>
      </c>
      <c r="DS6" s="82">
        <f t="shared" si="12"/>
        <v>5.9431229447165584E-2</v>
      </c>
      <c r="DT6" s="2">
        <f t="shared" si="13"/>
        <v>0.79260000000000008</v>
      </c>
    </row>
    <row r="7" spans="1:124" ht="14" customHeight="1" x14ac:dyDescent="0.35">
      <c r="A7" s="65" t="s">
        <v>18</v>
      </c>
      <c r="B7" s="1">
        <v>1</v>
      </c>
      <c r="C7" s="6">
        <v>42333</v>
      </c>
      <c r="D7" s="7">
        <v>0.40277777777777773</v>
      </c>
      <c r="E7" t="s">
        <v>265</v>
      </c>
      <c r="F7" t="s">
        <v>266</v>
      </c>
      <c r="G7" s="9" t="s">
        <v>82</v>
      </c>
      <c r="H7" s="9" t="s">
        <v>161</v>
      </c>
      <c r="I7" s="9" t="s">
        <v>86</v>
      </c>
      <c r="J7" s="9">
        <v>2</v>
      </c>
      <c r="K7" s="80">
        <v>16.818999999999999</v>
      </c>
      <c r="L7" s="80">
        <f t="shared" si="0"/>
        <v>14.917666666666666</v>
      </c>
      <c r="M7" s="81">
        <v>400.23</v>
      </c>
      <c r="N7" s="81">
        <f t="shared" si="1"/>
        <v>400.13499999999999</v>
      </c>
      <c r="O7" s="33">
        <v>6150</v>
      </c>
      <c r="P7" s="5">
        <f t="shared" si="2"/>
        <v>5741</v>
      </c>
      <c r="Q7" s="37">
        <f t="shared" si="3"/>
        <v>0.9348434776307637</v>
      </c>
      <c r="R7" s="37">
        <f t="shared" si="4"/>
        <v>2.423251956150689E-3</v>
      </c>
      <c r="S7" s="38">
        <f t="shared" si="5"/>
        <v>6.499863169894908E-2</v>
      </c>
      <c r="T7" s="37">
        <f t="shared" si="6"/>
        <v>0.93257811634490029</v>
      </c>
      <c r="U7" s="8">
        <v>-999</v>
      </c>
      <c r="V7" s="3">
        <v>21360</v>
      </c>
      <c r="W7" s="3">
        <v>743</v>
      </c>
      <c r="X7" s="3">
        <v>60389</v>
      </c>
      <c r="Y7" s="21">
        <v>671.2</v>
      </c>
      <c r="Z7" s="18">
        <v>164.1</v>
      </c>
      <c r="AA7" s="21">
        <v>104.5</v>
      </c>
      <c r="AB7" s="21">
        <v>15780.4</v>
      </c>
      <c r="AC7" s="21">
        <v>586.5</v>
      </c>
      <c r="AD7" s="21">
        <v>404.8</v>
      </c>
      <c r="AE7" s="18">
        <v>111.9</v>
      </c>
      <c r="AF7" s="21">
        <v>90.9</v>
      </c>
      <c r="AG7" s="3">
        <v>1044513</v>
      </c>
      <c r="AH7" s="3">
        <v>3907891</v>
      </c>
      <c r="AI7" s="3">
        <v>2011824</v>
      </c>
      <c r="AJ7" s="3">
        <v>218854</v>
      </c>
      <c r="AK7" s="3">
        <v>1059537</v>
      </c>
      <c r="AL7" s="3">
        <v>12635</v>
      </c>
      <c r="AM7" s="3">
        <v>43760</v>
      </c>
      <c r="AN7" s="3">
        <v>191756</v>
      </c>
      <c r="AO7" s="3">
        <v>102467</v>
      </c>
      <c r="AP7" s="3">
        <v>39976</v>
      </c>
      <c r="AQ7" s="3">
        <v>29038</v>
      </c>
      <c r="AR7" s="3">
        <v>5637</v>
      </c>
      <c r="AS7" s="3">
        <v>13410</v>
      </c>
      <c r="AT7" s="3">
        <v>86882</v>
      </c>
      <c r="AU7" s="3">
        <v>46203</v>
      </c>
      <c r="AV7" s="3">
        <v>135857</v>
      </c>
      <c r="AW7" s="3">
        <v>10487</v>
      </c>
      <c r="AX7" s="3">
        <v>6265</v>
      </c>
      <c r="AY7" s="3">
        <v>35234</v>
      </c>
      <c r="AZ7" s="3">
        <v>3845</v>
      </c>
      <c r="BA7" s="3">
        <v>7200</v>
      </c>
      <c r="BB7" s="3">
        <v>40380</v>
      </c>
      <c r="BC7" s="3">
        <v>638</v>
      </c>
      <c r="BD7" s="3">
        <v>13165</v>
      </c>
      <c r="BE7" s="3">
        <v>7905</v>
      </c>
      <c r="BF7" s="3">
        <v>13584</v>
      </c>
      <c r="BG7" s="3">
        <v>15270</v>
      </c>
      <c r="BH7" s="3">
        <v>24429</v>
      </c>
      <c r="BI7" s="3">
        <v>19066</v>
      </c>
      <c r="BJ7" s="3">
        <v>60618</v>
      </c>
      <c r="BK7" s="3">
        <v>23230</v>
      </c>
      <c r="BL7" s="3">
        <v>12476</v>
      </c>
      <c r="BM7" s="3">
        <v>7487</v>
      </c>
      <c r="BN7" s="3">
        <v>1557</v>
      </c>
      <c r="BO7" s="12">
        <v>417709</v>
      </c>
      <c r="BP7" s="3">
        <v>167310</v>
      </c>
      <c r="BQ7" s="3">
        <v>16532</v>
      </c>
      <c r="BR7" s="3">
        <v>35131</v>
      </c>
      <c r="BS7" s="3">
        <v>17340</v>
      </c>
      <c r="BT7" s="3">
        <v>12747</v>
      </c>
      <c r="BU7" s="3">
        <v>882</v>
      </c>
      <c r="BV7" s="3">
        <v>1833</v>
      </c>
      <c r="BW7" s="3">
        <v>10270</v>
      </c>
      <c r="BX7" s="3">
        <v>3040</v>
      </c>
      <c r="BY7" s="3">
        <v>3349</v>
      </c>
      <c r="BZ7" s="3">
        <v>2619</v>
      </c>
      <c r="CA7" s="3">
        <v>12379</v>
      </c>
      <c r="CB7" s="3">
        <v>5257</v>
      </c>
      <c r="CC7" s="3">
        <v>-999</v>
      </c>
      <c r="CD7" s="3">
        <v>1722361</v>
      </c>
      <c r="CE7" s="3">
        <v>313182</v>
      </c>
      <c r="CF7" s="3">
        <v>101290</v>
      </c>
      <c r="CG7" s="3">
        <v>73702</v>
      </c>
      <c r="CH7" s="3">
        <v>120757</v>
      </c>
      <c r="CI7" s="3">
        <v>3687058</v>
      </c>
      <c r="CJ7" s="3">
        <v>74150</v>
      </c>
      <c r="CK7" s="3">
        <v>141309</v>
      </c>
      <c r="CL7" s="3">
        <v>56116</v>
      </c>
      <c r="CM7" s="2">
        <f>P7/(P7+N7)</f>
        <v>0.9348434776307637</v>
      </c>
      <c r="CN7" s="2">
        <f>L7/(L7+N7+P7)</f>
        <v>2.423251956150689E-3</v>
      </c>
      <c r="CO7" s="2">
        <f t="shared" si="14"/>
        <v>1.6153397539700494</v>
      </c>
      <c r="CP7" s="1">
        <v>1</v>
      </c>
      <c r="CQ7" s="1">
        <v>1.8</v>
      </c>
      <c r="CR7" s="1">
        <v>0.54</v>
      </c>
      <c r="CS7" s="1">
        <v>30</v>
      </c>
      <c r="CT7" s="1">
        <v>28.9</v>
      </c>
      <c r="CU7" s="1">
        <v>1</v>
      </c>
      <c r="CV7" s="1">
        <v>2</v>
      </c>
      <c r="CW7" s="1">
        <v>1</v>
      </c>
      <c r="CX7" s="1">
        <v>0.31366000000000005</v>
      </c>
      <c r="CY7" s="1">
        <v>2</v>
      </c>
      <c r="CZ7" s="1">
        <v>1</v>
      </c>
      <c r="DA7" s="1">
        <v>90</v>
      </c>
      <c r="DB7" s="1">
        <v>0.90749999999999997</v>
      </c>
      <c r="DC7" s="1">
        <v>1</v>
      </c>
      <c r="DD7" s="1">
        <v>0</v>
      </c>
      <c r="DE7" s="1">
        <v>360</v>
      </c>
      <c r="DF7" s="1">
        <f t="shared" si="16"/>
        <v>2.7777777777777776E-2</v>
      </c>
      <c r="DG7" s="92">
        <v>20000</v>
      </c>
      <c r="DH7" s="9">
        <f t="shared" si="15"/>
        <v>0.31366000000000005</v>
      </c>
      <c r="DI7" s="1">
        <f t="shared" si="7"/>
        <v>0.21995108313685896</v>
      </c>
      <c r="DJ7" s="1">
        <v>1</v>
      </c>
      <c r="DK7" s="1">
        <f t="shared" si="8"/>
        <v>1.6153397539700494</v>
      </c>
      <c r="DL7" s="1">
        <f>S7*1166.6</f>
        <v>75.827403739993997</v>
      </c>
      <c r="DM7" s="1">
        <f>T7* 1833.1</f>
        <v>1709.5089450718367</v>
      </c>
      <c r="DN7" s="1">
        <v>0.25</v>
      </c>
      <c r="DO7" s="1">
        <f t="shared" si="9"/>
        <v>0.29018778626849728</v>
      </c>
      <c r="DP7" s="1">
        <f t="shared" si="17"/>
        <v>0.29875953855493553</v>
      </c>
      <c r="DQ7" s="1">
        <f t="shared" si="10"/>
        <v>4.8759538554935506</v>
      </c>
      <c r="DR7" s="82">
        <f t="shared" si="11"/>
        <v>110.89200441483304</v>
      </c>
      <c r="DS7" s="82">
        <f t="shared" si="12"/>
        <v>2.0345475190159473E-2</v>
      </c>
      <c r="DT7" s="2">
        <f t="shared" si="13"/>
        <v>0.90749999999999986</v>
      </c>
    </row>
    <row r="8" spans="1:124" ht="12" customHeight="1" x14ac:dyDescent="0.35">
      <c r="A8" s="65" t="s">
        <v>41</v>
      </c>
      <c r="B8" s="1">
        <v>2</v>
      </c>
      <c r="C8" s="6">
        <v>42372</v>
      </c>
      <c r="D8" s="17">
        <v>0.54652777777777783</v>
      </c>
      <c r="E8" s="98" t="s">
        <v>318</v>
      </c>
      <c r="F8" s="98" t="s">
        <v>319</v>
      </c>
      <c r="G8" s="9" t="s">
        <v>82</v>
      </c>
      <c r="H8" s="9" t="s">
        <v>162</v>
      </c>
      <c r="I8" s="9" t="s">
        <v>208</v>
      </c>
      <c r="J8" s="9">
        <v>2</v>
      </c>
      <c r="K8" s="80">
        <v>30.879000000000001</v>
      </c>
      <c r="L8" s="80">
        <f t="shared" si="0"/>
        <v>28.977666666666668</v>
      </c>
      <c r="M8" s="81">
        <v>621.30999999999995</v>
      </c>
      <c r="N8" s="81">
        <f t="shared" si="1"/>
        <v>621.21499999999992</v>
      </c>
      <c r="O8" s="33">
        <v>8788</v>
      </c>
      <c r="P8" s="5">
        <f t="shared" si="2"/>
        <v>8379</v>
      </c>
      <c r="Q8" s="37">
        <f t="shared" si="3"/>
        <v>0.93097775997573384</v>
      </c>
      <c r="R8" s="37">
        <f t="shared" si="4"/>
        <v>3.2093308600717276E-3</v>
      </c>
      <c r="S8" s="38">
        <f t="shared" si="5"/>
        <v>6.8800724819324935E-2</v>
      </c>
      <c r="T8" s="37">
        <f t="shared" si="6"/>
        <v>0.92798994432060322</v>
      </c>
      <c r="U8" s="8">
        <v>79.2</v>
      </c>
      <c r="V8" s="10">
        <v>54673</v>
      </c>
      <c r="W8" s="10">
        <v>3465</v>
      </c>
      <c r="X8" s="3">
        <v>279518</v>
      </c>
      <c r="Y8" s="21">
        <v>1505.8</v>
      </c>
      <c r="Z8" s="18">
        <v>810.9</v>
      </c>
      <c r="AA8" s="22">
        <v>458.8</v>
      </c>
      <c r="AB8" s="22">
        <v>49590.7</v>
      </c>
      <c r="AC8" s="22">
        <v>1884.8</v>
      </c>
      <c r="AD8" s="22">
        <v>2195.6999999999998</v>
      </c>
      <c r="AE8" s="18">
        <v>380.9</v>
      </c>
      <c r="AF8" s="21">
        <v>945.9</v>
      </c>
      <c r="AG8" s="3">
        <v>2443535</v>
      </c>
      <c r="AH8" s="3">
        <v>10193241</v>
      </c>
      <c r="AI8" s="3">
        <v>9165666</v>
      </c>
      <c r="AJ8" s="3">
        <v>712869</v>
      </c>
      <c r="AK8" s="3">
        <v>3251180</v>
      </c>
      <c r="AL8" s="3">
        <v>50552</v>
      </c>
      <c r="AM8" s="3">
        <v>167640</v>
      </c>
      <c r="AN8" s="3">
        <v>526318</v>
      </c>
      <c r="AO8" s="3">
        <v>392715</v>
      </c>
      <c r="AP8" s="3">
        <v>142522</v>
      </c>
      <c r="AQ8" s="3">
        <v>119818</v>
      </c>
      <c r="AR8" s="3">
        <v>13040</v>
      </c>
      <c r="AS8" s="3">
        <v>45154</v>
      </c>
      <c r="AT8" s="3">
        <v>117429</v>
      </c>
      <c r="AU8" s="3">
        <v>180039</v>
      </c>
      <c r="AV8" s="3">
        <v>444264</v>
      </c>
      <c r="AW8" s="3">
        <v>22702</v>
      </c>
      <c r="AX8" s="3">
        <v>13378</v>
      </c>
      <c r="AY8" s="3">
        <v>161962</v>
      </c>
      <c r="AZ8" s="3">
        <v>46369</v>
      </c>
      <c r="BA8" s="3">
        <v>17238</v>
      </c>
      <c r="BB8" s="3">
        <v>123648</v>
      </c>
      <c r="BC8" s="3">
        <v>-999</v>
      </c>
      <c r="BD8" s="3">
        <v>39284</v>
      </c>
      <c r="BE8" s="3">
        <v>22182</v>
      </c>
      <c r="BF8" s="3">
        <v>42762</v>
      </c>
      <c r="BG8" s="3">
        <v>66127</v>
      </c>
      <c r="BH8" s="3">
        <v>80867</v>
      </c>
      <c r="BI8" s="3">
        <v>47221</v>
      </c>
      <c r="BJ8" s="3">
        <v>164435</v>
      </c>
      <c r="BK8" s="3">
        <v>65814</v>
      </c>
      <c r="BL8" s="3">
        <v>39383</v>
      </c>
      <c r="BM8" s="3">
        <v>34198</v>
      </c>
      <c r="BN8" s="10">
        <v>8762</v>
      </c>
      <c r="BO8" s="12">
        <v>2346320</v>
      </c>
      <c r="BP8" s="3">
        <v>1148845</v>
      </c>
      <c r="BQ8" s="3">
        <v>45459</v>
      </c>
      <c r="BR8" s="3">
        <v>152840</v>
      </c>
      <c r="BS8" s="3">
        <v>44578</v>
      </c>
      <c r="BT8" s="3">
        <v>31057</v>
      </c>
      <c r="BU8" s="3">
        <v>1373</v>
      </c>
      <c r="BV8" s="3">
        <v>1765</v>
      </c>
      <c r="BW8" s="3">
        <v>-999</v>
      </c>
      <c r="BX8" s="3">
        <v>-999</v>
      </c>
      <c r="BY8" s="3">
        <v>-999</v>
      </c>
      <c r="BZ8" s="3">
        <v>-999</v>
      </c>
      <c r="CA8" s="3">
        <v>6249</v>
      </c>
      <c r="CB8" s="3">
        <v>3424</v>
      </c>
      <c r="CC8" s="10">
        <v>-999</v>
      </c>
      <c r="CD8" s="3">
        <v>4487676</v>
      </c>
      <c r="CE8" s="3">
        <v>662873</v>
      </c>
      <c r="CF8" s="3">
        <v>114429</v>
      </c>
      <c r="CG8" s="3">
        <v>167426</v>
      </c>
      <c r="CH8" s="3">
        <v>100229</v>
      </c>
      <c r="CI8" s="3">
        <v>7640634</v>
      </c>
      <c r="CJ8" s="3">
        <v>77777</v>
      </c>
      <c r="CK8" s="3">
        <v>437261</v>
      </c>
      <c r="CL8" s="3">
        <v>175082</v>
      </c>
      <c r="CM8" s="2">
        <f>P8/(P8+N8)</f>
        <v>0.93097775997573384</v>
      </c>
      <c r="CN8" s="2">
        <f>L8/(L8+N8+P8)</f>
        <v>3.2093308600717276E-3</v>
      </c>
      <c r="CO8" s="2">
        <f t="shared" si="14"/>
        <v>2.1393399513238136</v>
      </c>
      <c r="CP8" s="1">
        <v>2</v>
      </c>
      <c r="CQ8" s="1">
        <v>2.4</v>
      </c>
      <c r="CR8" s="1">
        <v>0.41</v>
      </c>
      <c r="CS8" s="1">
        <v>30</v>
      </c>
      <c r="CT8" s="1">
        <v>28.6</v>
      </c>
      <c r="CU8" s="1">
        <v>1</v>
      </c>
      <c r="CV8" s="1">
        <v>2</v>
      </c>
      <c r="CW8" s="1">
        <v>1</v>
      </c>
      <c r="CX8" s="1">
        <v>0.37000000000000005</v>
      </c>
      <c r="CY8" s="1">
        <v>0.7</v>
      </c>
      <c r="CZ8" s="1">
        <v>2</v>
      </c>
      <c r="DA8" s="1">
        <v>98</v>
      </c>
      <c r="DB8" s="1">
        <v>0.87209999999999999</v>
      </c>
      <c r="DC8" s="1">
        <v>1</v>
      </c>
      <c r="DD8" s="1">
        <v>0</v>
      </c>
      <c r="DE8" s="1">
        <v>720</v>
      </c>
      <c r="DF8" s="1">
        <f t="shared" si="16"/>
        <v>1.3888888888888888E-2</v>
      </c>
      <c r="DG8" s="92">
        <v>20000</v>
      </c>
      <c r="DH8" s="9">
        <f t="shared" si="15"/>
        <v>0.37000000000000005</v>
      </c>
      <c r="DI8" s="1">
        <f t="shared" si="7"/>
        <v>0.25937435777550344</v>
      </c>
      <c r="DJ8" s="1">
        <v>1</v>
      </c>
      <c r="DK8" s="1">
        <f t="shared" si="8"/>
        <v>2.1393399513238136</v>
      </c>
      <c r="DL8" s="1">
        <f>S8*1166.6</f>
        <v>80.262925574224468</v>
      </c>
      <c r="DM8" s="1">
        <f>T8* 1833.1</f>
        <v>1701.0983669340976</v>
      </c>
      <c r="DN8" s="1">
        <v>0.25</v>
      </c>
      <c r="DO8" s="1">
        <f t="shared" si="9"/>
        <v>0.47424111432239691</v>
      </c>
      <c r="DP8" s="1">
        <f t="shared" si="17"/>
        <v>0.29898822222836913</v>
      </c>
      <c r="DQ8" s="1">
        <f t="shared" si="10"/>
        <v>4.8988222228369143</v>
      </c>
      <c r="DR8" s="82">
        <f t="shared" si="11"/>
        <v>62.833438171115695</v>
      </c>
      <c r="DS8" s="82">
        <f t="shared" si="12"/>
        <v>3.3173980359486904E-2</v>
      </c>
      <c r="DT8" s="2">
        <f t="shared" si="13"/>
        <v>0.87209999999999999</v>
      </c>
    </row>
    <row r="9" spans="1:124" ht="12" customHeight="1" x14ac:dyDescent="0.35">
      <c r="A9" s="65" t="s">
        <v>59</v>
      </c>
      <c r="B9" s="1">
        <v>2</v>
      </c>
      <c r="C9" s="6">
        <v>42372</v>
      </c>
      <c r="D9" s="7">
        <v>0.5625</v>
      </c>
      <c r="E9" t="s">
        <v>267</v>
      </c>
      <c r="F9" t="s">
        <v>268</v>
      </c>
      <c r="G9" s="9" t="s">
        <v>82</v>
      </c>
      <c r="H9" s="9" t="s">
        <v>227</v>
      </c>
      <c r="I9" s="9" t="s">
        <v>80</v>
      </c>
      <c r="J9" s="9">
        <v>1</v>
      </c>
      <c r="K9" s="80">
        <v>166.12899999999999</v>
      </c>
      <c r="L9" s="80">
        <f t="shared" si="0"/>
        <v>164.22766666666666</v>
      </c>
      <c r="M9" s="81">
        <v>2059.1799999999998</v>
      </c>
      <c r="N9" s="81">
        <f t="shared" si="1"/>
        <v>2059.085</v>
      </c>
      <c r="O9" s="33">
        <v>21154</v>
      </c>
      <c r="P9" s="5">
        <f t="shared" si="2"/>
        <v>20745</v>
      </c>
      <c r="Q9" s="37">
        <f t="shared" si="3"/>
        <v>0.9097054321627025</v>
      </c>
      <c r="R9" s="37">
        <f t="shared" si="4"/>
        <v>7.1501842146639771E-3</v>
      </c>
      <c r="S9" s="38">
        <f t="shared" si="5"/>
        <v>8.964894504367743E-2</v>
      </c>
      <c r="T9" s="37">
        <f t="shared" si="6"/>
        <v>0.90320087074165867</v>
      </c>
      <c r="U9" s="8">
        <v>170.5</v>
      </c>
      <c r="V9" s="10">
        <v>136541</v>
      </c>
      <c r="W9" s="10">
        <v>1800</v>
      </c>
      <c r="X9" s="3">
        <v>589970</v>
      </c>
      <c r="Y9" s="21">
        <v>3396.2</v>
      </c>
      <c r="Z9" s="18">
        <v>765.6</v>
      </c>
      <c r="AA9" s="22">
        <v>928.5</v>
      </c>
      <c r="AB9" s="22">
        <v>473415.5</v>
      </c>
      <c r="AC9" s="22">
        <v>12654.5</v>
      </c>
      <c r="AD9" s="22">
        <v>3548.4</v>
      </c>
      <c r="AE9" s="18">
        <v>1090.7</v>
      </c>
      <c r="AF9" s="21">
        <v>797.9</v>
      </c>
      <c r="AG9" s="3">
        <v>6259106</v>
      </c>
      <c r="AH9" s="3">
        <v>72443802</v>
      </c>
      <c r="AI9" s="3">
        <v>136419345</v>
      </c>
      <c r="AJ9" s="3">
        <v>621307</v>
      </c>
      <c r="AK9" s="3">
        <v>7999436</v>
      </c>
      <c r="AL9" s="3">
        <v>19149</v>
      </c>
      <c r="AM9" s="3">
        <v>65341</v>
      </c>
      <c r="AN9" s="3">
        <v>740529</v>
      </c>
      <c r="AO9" s="3">
        <v>328864</v>
      </c>
      <c r="AP9" s="3">
        <v>119792</v>
      </c>
      <c r="AQ9" s="3">
        <v>105484</v>
      </c>
      <c r="AR9" s="10">
        <v>4946</v>
      </c>
      <c r="AS9" s="3">
        <v>15830</v>
      </c>
      <c r="AT9" s="3">
        <v>228933</v>
      </c>
      <c r="AU9" s="3">
        <v>1713809</v>
      </c>
      <c r="AV9" s="3">
        <v>3814226</v>
      </c>
      <c r="AW9" s="3">
        <v>132168</v>
      </c>
      <c r="AX9" s="3">
        <v>58719</v>
      </c>
      <c r="AY9" s="3">
        <v>1547822</v>
      </c>
      <c r="AZ9" s="3">
        <v>758494</v>
      </c>
      <c r="BA9" s="3">
        <v>95147</v>
      </c>
      <c r="BB9" s="3">
        <v>75338</v>
      </c>
      <c r="BC9" s="3">
        <v>-999</v>
      </c>
      <c r="BD9" s="3">
        <v>32488</v>
      </c>
      <c r="BE9" s="3">
        <v>25541</v>
      </c>
      <c r="BF9" s="3">
        <v>36081</v>
      </c>
      <c r="BG9" s="3">
        <v>31757</v>
      </c>
      <c r="BH9" s="3">
        <v>29564</v>
      </c>
      <c r="BI9" s="3">
        <v>15718</v>
      </c>
      <c r="BJ9" s="3">
        <v>86160</v>
      </c>
      <c r="BK9" s="3">
        <v>23889</v>
      </c>
      <c r="BL9" s="3">
        <v>17366</v>
      </c>
      <c r="BM9" s="3">
        <v>-999</v>
      </c>
      <c r="BN9" s="10">
        <v>2089</v>
      </c>
      <c r="BO9" s="12">
        <v>22341031</v>
      </c>
      <c r="BP9" s="3">
        <v>4379028</v>
      </c>
      <c r="BQ9" s="3">
        <v>143026</v>
      </c>
      <c r="BR9" s="3">
        <v>804104</v>
      </c>
      <c r="BS9" s="3">
        <v>71431</v>
      </c>
      <c r="BT9" s="3">
        <v>188077</v>
      </c>
      <c r="BU9" s="3">
        <v>3453</v>
      </c>
      <c r="BV9" s="3">
        <v>2945</v>
      </c>
      <c r="BW9" s="3">
        <v>11562</v>
      </c>
      <c r="BX9" s="3">
        <v>4350</v>
      </c>
      <c r="BY9" s="3">
        <v>7000</v>
      </c>
      <c r="BZ9" s="3">
        <v>2590</v>
      </c>
      <c r="CA9" s="3">
        <v>21147</v>
      </c>
      <c r="CB9" s="3">
        <v>-999</v>
      </c>
      <c r="CC9" s="10">
        <v>-999</v>
      </c>
      <c r="CD9" s="3">
        <v>9751153</v>
      </c>
      <c r="CE9" s="3">
        <v>857450</v>
      </c>
      <c r="CF9" s="3">
        <v>122342</v>
      </c>
      <c r="CG9" s="3">
        <v>160701</v>
      </c>
      <c r="CH9" s="3">
        <v>201348</v>
      </c>
      <c r="CI9" s="3">
        <v>10302879</v>
      </c>
      <c r="CJ9" s="3">
        <v>108196</v>
      </c>
      <c r="CK9" s="3">
        <v>539050</v>
      </c>
      <c r="CL9" s="3">
        <v>106049</v>
      </c>
      <c r="CM9" s="2">
        <f>P9/(P9+N9)</f>
        <v>0.9097054321627025</v>
      </c>
      <c r="CN9" s="2">
        <f>L9/(L9+N9+P9)</f>
        <v>7.1501842146639771E-3</v>
      </c>
      <c r="CO9" s="2">
        <f t="shared" si="14"/>
        <v>4.766312797495007</v>
      </c>
      <c r="CP9" s="1">
        <v>2</v>
      </c>
      <c r="CQ9" s="1">
        <v>3</v>
      </c>
      <c r="CR9" s="1">
        <v>0.74</v>
      </c>
      <c r="CS9" s="1">
        <v>30</v>
      </c>
      <c r="CT9" s="1">
        <v>27</v>
      </c>
      <c r="CU9" s="1">
        <v>1</v>
      </c>
      <c r="CV9" s="1">
        <v>2</v>
      </c>
      <c r="CW9" s="1">
        <v>1</v>
      </c>
      <c r="CX9" s="1">
        <v>0.376</v>
      </c>
      <c r="CY9" s="1">
        <v>1.5</v>
      </c>
      <c r="CZ9" s="1">
        <v>1</v>
      </c>
      <c r="DA9" s="1">
        <v>98</v>
      </c>
      <c r="DB9" s="1">
        <v>0.9043000000000001</v>
      </c>
      <c r="DC9" s="1">
        <v>1</v>
      </c>
      <c r="DD9" s="1">
        <v>0</v>
      </c>
      <c r="DE9" s="1">
        <v>262</v>
      </c>
      <c r="DF9" s="1">
        <f t="shared" si="16"/>
        <v>3.8167938931297711E-2</v>
      </c>
      <c r="DG9" s="92">
        <v>20000</v>
      </c>
      <c r="DH9" s="9">
        <f t="shared" si="15"/>
        <v>0.376</v>
      </c>
      <c r="DI9" s="1">
        <f t="shared" si="7"/>
        <v>0.35711439131272515</v>
      </c>
      <c r="DJ9" s="1">
        <v>1</v>
      </c>
      <c r="DK9" s="1">
        <f t="shared" si="8"/>
        <v>4.766312797495007</v>
      </c>
      <c r="DL9" s="1">
        <f>S9*1166.6</f>
        <v>104.58445928795408</v>
      </c>
      <c r="DM9" s="1">
        <f>T9* 1833.1</f>
        <v>1655.6575161565345</v>
      </c>
      <c r="DN9" s="1">
        <f t="shared" ref="DN9:DN14" si="18">CX9-DH9</f>
        <v>0</v>
      </c>
      <c r="DO9" s="1">
        <f t="shared" si="9"/>
        <v>1.5084415930695705</v>
      </c>
      <c r="DP9" s="1">
        <f t="shared" si="17"/>
        <v>5.0227682678922393E-2</v>
      </c>
      <c r="DQ9" s="1">
        <f t="shared" si="10"/>
        <v>5.0227682678922392</v>
      </c>
      <c r="DR9" s="82">
        <f t="shared" si="11"/>
        <v>246.51797256801325</v>
      </c>
      <c r="DS9" s="82">
        <f t="shared" si="12"/>
        <v>3.4175847248627766E-2</v>
      </c>
      <c r="DT9" s="2">
        <f t="shared" si="13"/>
        <v>0.9043000000000001</v>
      </c>
    </row>
    <row r="10" spans="1:124" ht="14" hidden="1" customHeight="1" x14ac:dyDescent="0.35">
      <c r="A10" s="1" t="s">
        <v>19</v>
      </c>
      <c r="B10" s="1">
        <v>1</v>
      </c>
      <c r="C10" s="6">
        <v>42332</v>
      </c>
      <c r="D10" s="7">
        <v>0.6430555555555556</v>
      </c>
      <c r="E10" t="s">
        <v>265</v>
      </c>
      <c r="F10" t="s">
        <v>266</v>
      </c>
      <c r="G10" s="23" t="s">
        <v>82</v>
      </c>
      <c r="H10" s="23" t="s">
        <v>238</v>
      </c>
      <c r="I10" s="23"/>
      <c r="J10" s="23"/>
      <c r="K10" s="40">
        <v>1.9690000000000001</v>
      </c>
      <c r="L10" s="40">
        <f t="shared" si="0"/>
        <v>6.7666666666666764E-2</v>
      </c>
      <c r="M10" s="41">
        <v>0.42</v>
      </c>
      <c r="N10" s="41">
        <f t="shared" si="1"/>
        <v>0.32499999999999996</v>
      </c>
      <c r="O10" s="42">
        <v>536</v>
      </c>
      <c r="P10" s="5">
        <f t="shared" si="2"/>
        <v>127</v>
      </c>
      <c r="Q10" s="37"/>
      <c r="R10" s="37"/>
      <c r="S10" s="38"/>
      <c r="T10" s="37"/>
      <c r="U10" s="8">
        <v>0.8</v>
      </c>
      <c r="V10" s="3">
        <v>858</v>
      </c>
      <c r="W10" s="3">
        <v>3</v>
      </c>
      <c r="X10" s="3">
        <v>1281</v>
      </c>
      <c r="Y10" s="21">
        <v>14.4</v>
      </c>
      <c r="Z10" s="18">
        <v>1.1000000000000001</v>
      </c>
      <c r="AA10" s="21">
        <v>35.700000000000003</v>
      </c>
      <c r="AB10" s="21">
        <v>158</v>
      </c>
      <c r="AC10" s="21">
        <v>41.2</v>
      </c>
      <c r="AD10" s="21">
        <v>17.899999999999999</v>
      </c>
      <c r="AE10" s="18">
        <v>7.5</v>
      </c>
      <c r="AF10" s="21">
        <v>11.8</v>
      </c>
      <c r="AG10" s="3">
        <v>3646</v>
      </c>
      <c r="AH10" s="3">
        <v>2642</v>
      </c>
      <c r="AI10" s="3">
        <v>2228</v>
      </c>
      <c r="AJ10" s="3">
        <v>93625</v>
      </c>
      <c r="AK10" s="3">
        <v>1278</v>
      </c>
      <c r="AL10" s="3">
        <v>110786</v>
      </c>
      <c r="AM10" s="20">
        <v>198888</v>
      </c>
      <c r="AN10" s="3">
        <v>412</v>
      </c>
      <c r="AO10" s="3">
        <v>1456</v>
      </c>
      <c r="AP10" s="3">
        <v>596</v>
      </c>
      <c r="AQ10" s="3">
        <v>386</v>
      </c>
      <c r="AR10" s="3">
        <v>10245</v>
      </c>
      <c r="AS10" s="3">
        <v>4231</v>
      </c>
      <c r="AT10" s="3">
        <v>84</v>
      </c>
      <c r="AU10" s="3">
        <v>21</v>
      </c>
      <c r="AV10" s="3">
        <v>195</v>
      </c>
      <c r="AW10" s="3">
        <v>-888</v>
      </c>
      <c r="AX10" s="3">
        <v>-888</v>
      </c>
      <c r="AY10" s="3">
        <v>541</v>
      </c>
      <c r="AZ10" s="3">
        <v>-888</v>
      </c>
      <c r="BA10" s="3">
        <v>-888</v>
      </c>
      <c r="BB10" s="3">
        <v>181</v>
      </c>
      <c r="BC10" s="3">
        <v>390</v>
      </c>
      <c r="BD10" s="3">
        <v>274</v>
      </c>
      <c r="BE10" s="3">
        <v>80</v>
      </c>
      <c r="BF10" s="3">
        <v>101</v>
      </c>
      <c r="BG10" s="3">
        <v>-999</v>
      </c>
      <c r="BH10" s="3">
        <v>54</v>
      </c>
      <c r="BI10" s="3">
        <v>140</v>
      </c>
      <c r="BJ10" s="3">
        <v>77</v>
      </c>
      <c r="BK10" s="3">
        <v>-888</v>
      </c>
      <c r="BL10" s="3">
        <v>-888</v>
      </c>
      <c r="BM10" s="3">
        <v>863</v>
      </c>
      <c r="BN10" s="3">
        <v>1071</v>
      </c>
      <c r="BO10" s="12">
        <v>1991</v>
      </c>
      <c r="BP10" s="3">
        <v>1649</v>
      </c>
      <c r="BQ10" s="3">
        <v>115</v>
      </c>
      <c r="BR10" s="3">
        <v>550</v>
      </c>
      <c r="BS10" s="3">
        <v>177</v>
      </c>
      <c r="BT10" s="3">
        <v>326</v>
      </c>
      <c r="BU10" s="3">
        <v>-888</v>
      </c>
      <c r="BV10" s="3">
        <v>-888</v>
      </c>
      <c r="BW10" s="3">
        <v>-888</v>
      </c>
      <c r="BX10" s="3">
        <v>-888</v>
      </c>
      <c r="BY10" s="3">
        <v>-888</v>
      </c>
      <c r="BZ10" s="3">
        <v>26</v>
      </c>
      <c r="CA10" s="3">
        <v>130</v>
      </c>
      <c r="CB10" s="3">
        <v>180</v>
      </c>
      <c r="CC10" s="3">
        <v>51</v>
      </c>
      <c r="CD10" s="3">
        <v>87227</v>
      </c>
      <c r="CE10" s="3">
        <v>4993</v>
      </c>
      <c r="CF10" s="3">
        <v>1585</v>
      </c>
      <c r="CG10" s="3">
        <v>505</v>
      </c>
      <c r="CH10" s="3">
        <v>531</v>
      </c>
      <c r="CI10" s="3">
        <v>11816</v>
      </c>
      <c r="CJ10" s="3">
        <v>10731</v>
      </c>
      <c r="CK10" s="3">
        <v>70</v>
      </c>
      <c r="CL10" s="3">
        <v>81</v>
      </c>
      <c r="CM10" s="54"/>
      <c r="CN10" s="54"/>
      <c r="CP10" s="54"/>
      <c r="CQ10" s="54"/>
      <c r="CR10" s="54"/>
      <c r="CS10" s="54"/>
      <c r="CT10" s="54"/>
      <c r="CU10" s="54"/>
      <c r="CV10" s="54"/>
      <c r="CW10" s="54"/>
      <c r="CX10" s="54"/>
      <c r="CY10" s="23"/>
      <c r="CZ10" s="23"/>
      <c r="DA10" s="23"/>
      <c r="DB10" s="54"/>
      <c r="DC10" s="23"/>
      <c r="DD10" s="54"/>
      <c r="DE10" s="54"/>
      <c r="DG10" s="91"/>
      <c r="DH10" s="9">
        <f t="shared" si="15"/>
        <v>0</v>
      </c>
      <c r="DI10" s="1"/>
      <c r="DJ10" s="2"/>
      <c r="DN10" s="1">
        <f t="shared" si="18"/>
        <v>0</v>
      </c>
      <c r="DO10" s="1"/>
      <c r="DP10" s="1"/>
      <c r="DQ10" s="1"/>
      <c r="DR10" s="82"/>
      <c r="DS10" s="82"/>
    </row>
    <row r="11" spans="1:124" ht="13" hidden="1" customHeight="1" x14ac:dyDescent="0.35">
      <c r="A11" s="1" t="s">
        <v>20</v>
      </c>
      <c r="B11" s="1">
        <v>2</v>
      </c>
      <c r="C11" s="6">
        <v>42372</v>
      </c>
      <c r="D11" s="7">
        <v>0.52916666666666667</v>
      </c>
      <c r="E11" t="s">
        <v>267</v>
      </c>
      <c r="F11" t="s">
        <v>268</v>
      </c>
      <c r="G11" s="23" t="s">
        <v>82</v>
      </c>
      <c r="H11" s="23" t="s">
        <v>238</v>
      </c>
      <c r="I11" s="23"/>
      <c r="J11" s="23"/>
      <c r="K11" s="40">
        <v>1.8979999999999999</v>
      </c>
      <c r="L11" s="40"/>
      <c r="M11" s="41">
        <v>0.13</v>
      </c>
      <c r="N11" s="41"/>
      <c r="O11" s="42">
        <v>410</v>
      </c>
      <c r="P11" s="5"/>
      <c r="Q11" s="37"/>
      <c r="R11" s="37"/>
      <c r="S11" s="38"/>
      <c r="T11" s="37"/>
      <c r="U11" s="8">
        <v>0.5</v>
      </c>
      <c r="V11" s="10">
        <v>611</v>
      </c>
      <c r="W11" s="10">
        <v>1</v>
      </c>
      <c r="X11" s="3">
        <v>717</v>
      </c>
      <c r="Y11" s="21">
        <v>7.6</v>
      </c>
      <c r="Z11" s="18">
        <v>0.4</v>
      </c>
      <c r="AA11" s="22">
        <v>9.9</v>
      </c>
      <c r="AB11" s="22">
        <v>15.3</v>
      </c>
      <c r="AC11" s="22">
        <v>7.7</v>
      </c>
      <c r="AD11" s="22">
        <v>8.6999999999999993</v>
      </c>
      <c r="AE11" s="18">
        <v>3.2</v>
      </c>
      <c r="AF11" s="21">
        <v>7</v>
      </c>
      <c r="AG11" s="3">
        <v>1795</v>
      </c>
      <c r="AH11" s="3">
        <v>397</v>
      </c>
      <c r="AI11" s="3">
        <v>331</v>
      </c>
      <c r="AJ11" s="3">
        <v>379</v>
      </c>
      <c r="AK11" s="3">
        <v>156</v>
      </c>
      <c r="AL11" s="3">
        <v>53</v>
      </c>
      <c r="AM11" s="3">
        <v>79</v>
      </c>
      <c r="AN11" s="3">
        <v>26</v>
      </c>
      <c r="AO11" s="3">
        <v>155</v>
      </c>
      <c r="AP11" s="3">
        <v>-888</v>
      </c>
      <c r="AQ11" s="3">
        <v>-888</v>
      </c>
      <c r="AR11" s="3">
        <v>136</v>
      </c>
      <c r="AS11" s="3">
        <v>31</v>
      </c>
      <c r="AT11" s="3">
        <v>-888</v>
      </c>
      <c r="AU11" s="3">
        <v>-888</v>
      </c>
      <c r="AV11" s="3">
        <v>-888</v>
      </c>
      <c r="AW11" s="3">
        <v>-888</v>
      </c>
      <c r="AX11" s="3">
        <v>-888</v>
      </c>
      <c r="AY11" s="3">
        <v>-888</v>
      </c>
      <c r="AZ11" s="3">
        <v>-888</v>
      </c>
      <c r="BA11" s="3">
        <v>-888</v>
      </c>
      <c r="BB11" s="3">
        <v>-888</v>
      </c>
      <c r="BC11" s="3">
        <v>107</v>
      </c>
      <c r="BD11" s="3">
        <v>-888</v>
      </c>
      <c r="BE11" s="3">
        <v>-888</v>
      </c>
      <c r="BF11" s="3">
        <v>-888</v>
      </c>
      <c r="BG11" s="3">
        <v>-888</v>
      </c>
      <c r="BH11" s="3">
        <v>-888</v>
      </c>
      <c r="BI11" s="3">
        <v>-888</v>
      </c>
      <c r="BJ11" s="3">
        <v>-888</v>
      </c>
      <c r="BK11" s="3">
        <v>-888</v>
      </c>
      <c r="BL11" s="3">
        <v>-888</v>
      </c>
      <c r="BM11" s="3">
        <v>-888</v>
      </c>
      <c r="BN11" s="10">
        <v>-888</v>
      </c>
      <c r="BO11" s="12">
        <v>102</v>
      </c>
      <c r="BP11" s="3">
        <v>53</v>
      </c>
      <c r="BQ11" s="3">
        <v>-888</v>
      </c>
      <c r="BR11" s="3">
        <v>-888</v>
      </c>
      <c r="BS11" s="3">
        <v>-888</v>
      </c>
      <c r="BT11" s="3">
        <v>-888</v>
      </c>
      <c r="BU11" s="3">
        <v>-888</v>
      </c>
      <c r="BV11" s="3">
        <v>-888</v>
      </c>
      <c r="BW11" s="3">
        <v>-888</v>
      </c>
      <c r="BX11" s="3">
        <v>-888</v>
      </c>
      <c r="BY11" s="3">
        <v>-888</v>
      </c>
      <c r="BZ11" s="3">
        <v>-888</v>
      </c>
      <c r="CA11" s="3">
        <v>-888</v>
      </c>
      <c r="CB11" s="3">
        <v>-888</v>
      </c>
      <c r="CC11" s="3">
        <v>-888</v>
      </c>
      <c r="CD11" s="10">
        <v>1402</v>
      </c>
      <c r="CE11" s="10">
        <v>1080</v>
      </c>
      <c r="CF11" s="10">
        <v>154</v>
      </c>
      <c r="CG11" s="10">
        <v>38</v>
      </c>
      <c r="CH11" s="10">
        <v>83</v>
      </c>
      <c r="CI11" s="10">
        <v>2876</v>
      </c>
      <c r="CJ11" s="10">
        <v>651</v>
      </c>
      <c r="CK11" s="3">
        <v>42</v>
      </c>
      <c r="CL11" s="3">
        <v>47</v>
      </c>
      <c r="CM11" s="54"/>
      <c r="CN11" s="54"/>
      <c r="CP11" s="54"/>
      <c r="CQ11" s="54"/>
      <c r="CR11" s="54"/>
      <c r="CS11" s="54"/>
      <c r="CT11" s="54"/>
      <c r="CU11" s="54"/>
      <c r="CV11" s="54"/>
      <c r="CW11" s="54"/>
      <c r="CX11" s="54"/>
      <c r="CY11" s="23"/>
      <c r="CZ11" s="23"/>
      <c r="DA11" s="23"/>
      <c r="DB11" s="54"/>
      <c r="DC11" s="23"/>
      <c r="DD11" s="54"/>
      <c r="DE11" s="54"/>
      <c r="DG11" s="91"/>
      <c r="DH11" s="9">
        <f t="shared" si="15"/>
        <v>0</v>
      </c>
      <c r="DI11" s="1"/>
      <c r="DJ11" s="2"/>
      <c r="DN11" s="1">
        <f t="shared" si="18"/>
        <v>0</v>
      </c>
      <c r="DO11" s="1"/>
      <c r="DP11" s="1"/>
      <c r="DQ11" s="1"/>
      <c r="DR11" s="82"/>
      <c r="DS11" s="82"/>
    </row>
    <row r="12" spans="1:124" ht="16.5" x14ac:dyDescent="0.35">
      <c r="A12" s="76" t="s">
        <v>15</v>
      </c>
      <c r="B12" s="1">
        <v>1</v>
      </c>
      <c r="C12" s="6">
        <v>42341</v>
      </c>
      <c r="D12" s="17">
        <v>0.52222222222222225</v>
      </c>
      <c r="E12" s="98" t="s">
        <v>304</v>
      </c>
      <c r="F12" s="98" t="s">
        <v>305</v>
      </c>
      <c r="G12" s="9" t="s">
        <v>232</v>
      </c>
      <c r="H12" s="9" t="s">
        <v>303</v>
      </c>
      <c r="I12" s="9" t="s">
        <v>251</v>
      </c>
      <c r="J12" s="9">
        <v>2</v>
      </c>
      <c r="K12" s="80">
        <v>17.61</v>
      </c>
      <c r="L12" s="80">
        <f t="shared" ref="L12:L25" si="19">K12-$L$2</f>
        <v>15.708666666666666</v>
      </c>
      <c r="M12" s="81">
        <v>561.02</v>
      </c>
      <c r="N12" s="81">
        <f t="shared" ref="N12:N25" si="20">M12-$N$2</f>
        <v>560.92499999999995</v>
      </c>
      <c r="O12" s="33">
        <v>9099</v>
      </c>
      <c r="P12" s="5">
        <f t="shared" ref="P12:P25" si="21">O12-$P$2</f>
        <v>8690</v>
      </c>
      <c r="Q12" s="37">
        <f t="shared" ref="Q12:Q25" si="22">P12/(P12+N12)</f>
        <v>0.93936552290716879</v>
      </c>
      <c r="R12" s="37">
        <f t="shared" ref="R12:R25" si="23">L12/(L12+N12+P12)</f>
        <v>1.6951858929281798E-3</v>
      </c>
      <c r="S12" s="38">
        <f t="shared" ref="S12:S25" si="24">N12/(N12+L12+P12)</f>
        <v>6.0531690382638406E-2</v>
      </c>
      <c r="T12" s="37">
        <f t="shared" ref="T12:T25" si="25">P12/(P12+N12+L12)</f>
        <v>0.93777312372443344</v>
      </c>
      <c r="U12" s="8">
        <v>56.4</v>
      </c>
      <c r="V12" s="3">
        <v>32732</v>
      </c>
      <c r="W12" s="3">
        <v>1271</v>
      </c>
      <c r="X12" s="3">
        <v>170249</v>
      </c>
      <c r="Y12" s="21">
        <v>968.2</v>
      </c>
      <c r="Z12" s="18">
        <v>148.69999999999999</v>
      </c>
      <c r="AA12" s="21">
        <v>175.9</v>
      </c>
      <c r="AB12" s="21">
        <v>23590.400000000001</v>
      </c>
      <c r="AC12" s="21">
        <v>1138.3</v>
      </c>
      <c r="AD12" s="21">
        <v>740.8</v>
      </c>
      <c r="AE12" s="18">
        <v>249.8</v>
      </c>
      <c r="AF12" s="21">
        <v>340.7</v>
      </c>
      <c r="AG12" s="3">
        <v>1164493</v>
      </c>
      <c r="AH12" s="3">
        <v>6099198</v>
      </c>
      <c r="AI12" s="3">
        <v>4236177</v>
      </c>
      <c r="AJ12" s="3">
        <v>253648</v>
      </c>
      <c r="AK12" s="3">
        <v>1675247</v>
      </c>
      <c r="AL12" s="3">
        <v>13593</v>
      </c>
      <c r="AM12" s="3">
        <v>50520</v>
      </c>
      <c r="AN12" s="3">
        <v>296828</v>
      </c>
      <c r="AO12" s="3">
        <v>146703</v>
      </c>
      <c r="AP12" s="3">
        <v>57085</v>
      </c>
      <c r="AQ12" s="3">
        <v>41892</v>
      </c>
      <c r="AR12" s="3">
        <v>5347</v>
      </c>
      <c r="AS12" s="3">
        <v>15824</v>
      </c>
      <c r="AT12" s="3">
        <v>161601</v>
      </c>
      <c r="AU12" s="3">
        <v>90818</v>
      </c>
      <c r="AV12" s="3">
        <v>285781</v>
      </c>
      <c r="AW12" s="3">
        <v>20221</v>
      </c>
      <c r="AX12" s="3">
        <v>11444</v>
      </c>
      <c r="AY12" s="3">
        <v>64226</v>
      </c>
      <c r="AZ12" s="3">
        <v>6537</v>
      </c>
      <c r="BA12" s="3">
        <v>13676</v>
      </c>
      <c r="BB12" s="3">
        <v>59150</v>
      </c>
      <c r="BC12" s="3">
        <v>4573</v>
      </c>
      <c r="BD12" s="3">
        <v>20170</v>
      </c>
      <c r="BE12" s="3">
        <v>12792</v>
      </c>
      <c r="BF12" s="3">
        <v>21710</v>
      </c>
      <c r="BG12" s="3">
        <v>24611</v>
      </c>
      <c r="BH12" s="3">
        <v>35823</v>
      </c>
      <c r="BI12" s="3">
        <v>30661</v>
      </c>
      <c r="BJ12" s="3">
        <v>88928</v>
      </c>
      <c r="BK12" s="3">
        <v>31752</v>
      </c>
      <c r="BL12" s="3">
        <v>17494</v>
      </c>
      <c r="BM12" s="3">
        <v>8845</v>
      </c>
      <c r="BN12" s="3">
        <v>1606</v>
      </c>
      <c r="BO12" s="12">
        <v>941370</v>
      </c>
      <c r="BP12" s="3">
        <v>283808</v>
      </c>
      <c r="BQ12" s="3">
        <v>28278</v>
      </c>
      <c r="BR12" s="3">
        <v>69052</v>
      </c>
      <c r="BS12" s="3">
        <v>21781</v>
      </c>
      <c r="BT12" s="3">
        <v>-999</v>
      </c>
      <c r="BU12" s="3">
        <v>1799</v>
      </c>
      <c r="BV12" s="3">
        <v>2966</v>
      </c>
      <c r="BW12" s="3">
        <v>17216</v>
      </c>
      <c r="BX12" s="3">
        <v>5305</v>
      </c>
      <c r="BY12" s="3">
        <v>5236</v>
      </c>
      <c r="BZ12" s="3">
        <v>6531</v>
      </c>
      <c r="CA12" s="3">
        <v>25008</v>
      </c>
      <c r="CB12" s="3">
        <v>13593</v>
      </c>
      <c r="CC12" s="3">
        <v>355</v>
      </c>
      <c r="CD12" s="3">
        <v>2347030</v>
      </c>
      <c r="CE12" s="3">
        <v>381337</v>
      </c>
      <c r="CF12" s="3">
        <v>125880</v>
      </c>
      <c r="CG12" s="3">
        <v>147673</v>
      </c>
      <c r="CH12" s="3">
        <v>217297</v>
      </c>
      <c r="CI12" s="3">
        <v>3462492</v>
      </c>
      <c r="CJ12" s="3">
        <v>36272</v>
      </c>
      <c r="CK12" s="3">
        <v>267588</v>
      </c>
      <c r="CL12" s="3">
        <v>102885</v>
      </c>
      <c r="CM12" s="2">
        <f>P12/(P12+N12)</f>
        <v>0.93936552290716879</v>
      </c>
      <c r="CN12" s="2">
        <f>L12/(L12+N12+P12)</f>
        <v>1.6951858929281798E-3</v>
      </c>
      <c r="CO12" s="2">
        <f t="shared" ref="CO12:CO19" si="26">CN12*666.6</f>
        <v>1.1300109162259246</v>
      </c>
      <c r="CP12" s="1">
        <v>1</v>
      </c>
      <c r="CQ12" s="1">
        <v>0.9</v>
      </c>
      <c r="CR12" s="1">
        <v>1</v>
      </c>
      <c r="CS12" s="1">
        <v>31.5</v>
      </c>
      <c r="CT12" s="1">
        <v>30.7</v>
      </c>
      <c r="CU12" s="1">
        <v>3</v>
      </c>
      <c r="CV12" s="1">
        <v>2</v>
      </c>
      <c r="CW12" s="1">
        <v>3</v>
      </c>
      <c r="CX12" s="1">
        <v>0.26600000000000001</v>
      </c>
      <c r="CY12" s="1">
        <v>1</v>
      </c>
      <c r="CZ12" s="1">
        <v>2</v>
      </c>
      <c r="DA12" s="1">
        <v>80</v>
      </c>
      <c r="DB12" s="1">
        <v>0.76800000000000002</v>
      </c>
      <c r="DC12" s="1">
        <v>0</v>
      </c>
      <c r="DD12" s="1">
        <v>1</v>
      </c>
      <c r="DE12" s="1">
        <v>540</v>
      </c>
      <c r="DF12" s="1">
        <f t="shared" ref="DF12:DF19" si="27">10/DE12</f>
        <v>1.8518518518518517E-2</v>
      </c>
      <c r="DG12" s="92">
        <v>20000</v>
      </c>
      <c r="DH12" s="9">
        <f t="shared" si="15"/>
        <v>0.26600000000000001</v>
      </c>
      <c r="DI12" s="1">
        <f t="shared" si="7"/>
        <v>0.25308722186293414</v>
      </c>
      <c r="DJ12" s="1">
        <v>1</v>
      </c>
      <c r="DK12" s="1">
        <f t="shared" ref="DK12:DK19" si="28">CO12</f>
        <v>1.1300109162259246</v>
      </c>
      <c r="DL12" s="1">
        <f>S12*1166.6</f>
        <v>70.616270000385953</v>
      </c>
      <c r="DM12" s="1">
        <f>T12* 1833.1</f>
        <v>1719.0319130992589</v>
      </c>
      <c r="DN12" s="1">
        <f t="shared" si="18"/>
        <v>0</v>
      </c>
      <c r="DO12" s="1">
        <f t="shared" si="9"/>
        <v>0.17571306913530355</v>
      </c>
      <c r="DP12" s="1">
        <f t="shared" si="17"/>
        <v>4.8544278710774033E-2</v>
      </c>
      <c r="DQ12" s="1">
        <f t="shared" si="10"/>
        <v>4.8544278710774034</v>
      </c>
      <c r="DR12" s="82">
        <f t="shared" si="11"/>
        <v>71.989254218790151</v>
      </c>
      <c r="DS12" s="82">
        <f t="shared" si="12"/>
        <v>5.8716235472200728E-2</v>
      </c>
      <c r="DT12" s="2">
        <f t="shared" si="13"/>
        <v>0.76800000000000002</v>
      </c>
    </row>
    <row r="13" spans="1:124" ht="11.5" customHeight="1" x14ac:dyDescent="0.35">
      <c r="A13" s="65" t="s">
        <v>60</v>
      </c>
      <c r="B13" s="1">
        <v>2</v>
      </c>
      <c r="C13" s="6">
        <v>42374</v>
      </c>
      <c r="D13" s="7">
        <v>0.54166666666666663</v>
      </c>
      <c r="E13" t="s">
        <v>269</v>
      </c>
      <c r="F13" t="s">
        <v>270</v>
      </c>
      <c r="G13" s="9" t="s">
        <v>84</v>
      </c>
      <c r="H13" s="9" t="s">
        <v>163</v>
      </c>
      <c r="I13" s="9" t="s">
        <v>76</v>
      </c>
      <c r="J13" s="9">
        <v>2</v>
      </c>
      <c r="K13" s="80">
        <v>23.87</v>
      </c>
      <c r="L13" s="80">
        <f t="shared" si="19"/>
        <v>21.968666666666667</v>
      </c>
      <c r="M13" s="81">
        <v>631.88</v>
      </c>
      <c r="N13" s="81">
        <f t="shared" si="20"/>
        <v>631.78499999999997</v>
      </c>
      <c r="O13" s="33">
        <v>17494</v>
      </c>
      <c r="P13" s="5">
        <f t="shared" si="21"/>
        <v>17085</v>
      </c>
      <c r="Q13" s="37">
        <f t="shared" si="22"/>
        <v>0.96433974900073571</v>
      </c>
      <c r="R13" s="37">
        <f t="shared" si="23"/>
        <v>1.2384560425994604E-3</v>
      </c>
      <c r="S13" s="38">
        <f t="shared" si="24"/>
        <v>3.5616087345933599E-2</v>
      </c>
      <c r="T13" s="37">
        <f t="shared" si="25"/>
        <v>0.96314545661146689</v>
      </c>
      <c r="U13" s="8">
        <v>42.1</v>
      </c>
      <c r="V13" s="10">
        <v>49760</v>
      </c>
      <c r="W13" s="10">
        <v>543</v>
      </c>
      <c r="X13" s="3">
        <v>142044</v>
      </c>
      <c r="Y13" s="21">
        <v>1706.7</v>
      </c>
      <c r="Z13" s="18">
        <v>229.8</v>
      </c>
      <c r="AA13" s="22">
        <v>155</v>
      </c>
      <c r="AB13" s="22">
        <v>154101.79999999999</v>
      </c>
      <c r="AC13" s="22">
        <v>4760.1000000000004</v>
      </c>
      <c r="AD13" s="22">
        <v>1598.2</v>
      </c>
      <c r="AE13" s="18">
        <v>503.3</v>
      </c>
      <c r="AF13" s="21">
        <v>349.1</v>
      </c>
      <c r="AG13" s="3">
        <v>1397448</v>
      </c>
      <c r="AH13" s="3">
        <v>11668549</v>
      </c>
      <c r="AI13" s="3">
        <v>10563309</v>
      </c>
      <c r="AJ13" s="3">
        <v>264569</v>
      </c>
      <c r="AK13" s="3">
        <v>2540952</v>
      </c>
      <c r="AL13" s="3">
        <v>14444</v>
      </c>
      <c r="AM13" s="3">
        <v>48097</v>
      </c>
      <c r="AN13" s="3">
        <v>409965</v>
      </c>
      <c r="AO13" s="3">
        <v>183633</v>
      </c>
      <c r="AP13" s="3">
        <v>72602</v>
      </c>
      <c r="AQ13" s="3">
        <v>50462</v>
      </c>
      <c r="AR13" s="10">
        <v>3293</v>
      </c>
      <c r="AS13" s="3">
        <v>14043</v>
      </c>
      <c r="AT13" s="3">
        <v>-999</v>
      </c>
      <c r="AU13" s="3">
        <v>165367</v>
      </c>
      <c r="AV13" s="3">
        <v>471578</v>
      </c>
      <c r="AW13" s="3">
        <v>26343</v>
      </c>
      <c r="AX13" s="3">
        <v>12875</v>
      </c>
      <c r="AY13" s="3">
        <v>98048</v>
      </c>
      <c r="AZ13" s="3">
        <v>37321</v>
      </c>
      <c r="BA13" s="3">
        <v>13569</v>
      </c>
      <c r="BB13" s="3">
        <v>94869</v>
      </c>
      <c r="BC13" s="10">
        <v>3999</v>
      </c>
      <c r="BD13" s="3">
        <v>26730</v>
      </c>
      <c r="BE13" s="3">
        <v>17082</v>
      </c>
      <c r="BF13" s="3">
        <v>30963</v>
      </c>
      <c r="BG13" s="3">
        <v>29293</v>
      </c>
      <c r="BH13" s="3">
        <v>19250</v>
      </c>
      <c r="BI13" s="3">
        <v>36356</v>
      </c>
      <c r="BJ13" s="3">
        <v>104046</v>
      </c>
      <c r="BK13" s="3">
        <v>40933</v>
      </c>
      <c r="BL13" s="3">
        <v>18187</v>
      </c>
      <c r="BM13" s="3">
        <v>12062</v>
      </c>
      <c r="BN13" s="10">
        <v>1580</v>
      </c>
      <c r="BO13" s="12">
        <v>2241751</v>
      </c>
      <c r="BP13" s="3">
        <v>682946</v>
      </c>
      <c r="BQ13" s="3">
        <v>28697</v>
      </c>
      <c r="BR13" s="3">
        <v>70711</v>
      </c>
      <c r="BS13" s="3">
        <v>6354</v>
      </c>
      <c r="BT13" s="3">
        <v>-999</v>
      </c>
      <c r="BU13" s="3">
        <v>-999</v>
      </c>
      <c r="BV13" s="3">
        <v>707</v>
      </c>
      <c r="BW13" s="3">
        <v>-999</v>
      </c>
      <c r="BX13" s="3">
        <v>-999</v>
      </c>
      <c r="BY13" s="3">
        <v>-999</v>
      </c>
      <c r="BZ13" s="3">
        <v>-999</v>
      </c>
      <c r="CA13" s="3">
        <v>-999</v>
      </c>
      <c r="CB13" s="3">
        <v>-999</v>
      </c>
      <c r="CC13" s="10">
        <v>-999</v>
      </c>
      <c r="CD13" s="3">
        <v>2360224</v>
      </c>
      <c r="CE13" s="3">
        <v>229322</v>
      </c>
      <c r="CF13" s="3">
        <v>21394</v>
      </c>
      <c r="CG13" s="3">
        <v>66348</v>
      </c>
      <c r="CH13" s="3">
        <v>34277</v>
      </c>
      <c r="CI13" s="3">
        <v>1269071</v>
      </c>
      <c r="CJ13" s="3">
        <v>22222</v>
      </c>
      <c r="CK13" s="3">
        <v>310286</v>
      </c>
      <c r="CL13" s="3">
        <v>95957</v>
      </c>
      <c r="CM13" s="2">
        <f>P13/(P13+N13)</f>
        <v>0.96433974900073571</v>
      </c>
      <c r="CN13" s="2">
        <f>L13/(L13+N13+P13)</f>
        <v>1.2384560425994604E-3</v>
      </c>
      <c r="CO13" s="2">
        <f t="shared" si="26"/>
        <v>0.82555479799680032</v>
      </c>
      <c r="CP13" s="1">
        <v>2</v>
      </c>
      <c r="CQ13" s="1">
        <v>1.6</v>
      </c>
      <c r="CR13" s="1">
        <v>0.92</v>
      </c>
      <c r="CS13" s="1">
        <v>32.4</v>
      </c>
      <c r="CT13" s="1">
        <v>23.4</v>
      </c>
      <c r="CU13" s="1">
        <v>3</v>
      </c>
      <c r="CV13" s="1">
        <v>2</v>
      </c>
      <c r="CW13" s="1">
        <v>1</v>
      </c>
      <c r="CX13" s="1">
        <v>0.30400000000000005</v>
      </c>
      <c r="CY13" s="1">
        <v>2</v>
      </c>
      <c r="CZ13" s="1">
        <v>1</v>
      </c>
      <c r="DA13" s="1">
        <v>99</v>
      </c>
      <c r="DB13" s="1">
        <v>0.93090000000000006</v>
      </c>
      <c r="DC13" s="1">
        <v>1</v>
      </c>
      <c r="DD13" s="1">
        <v>0</v>
      </c>
      <c r="DE13" s="1">
        <v>180</v>
      </c>
      <c r="DF13" s="1">
        <f t="shared" si="27"/>
        <v>5.5555555555555552E-2</v>
      </c>
      <c r="DG13" s="92">
        <v>20000</v>
      </c>
      <c r="DH13" s="9">
        <f t="shared" si="15"/>
        <v>0.30400000000000005</v>
      </c>
      <c r="DI13" s="1">
        <f t="shared" ref="DI13:DI25" si="29">DH13-(DH13*DP13)</f>
        <v>0.28721304853259011</v>
      </c>
      <c r="DJ13" s="1">
        <v>1</v>
      </c>
      <c r="DK13" s="1">
        <f t="shared" si="28"/>
        <v>0.82555479799680032</v>
      </c>
      <c r="DL13" s="1">
        <f>S13*1166.6</f>
        <v>41.549727497766135</v>
      </c>
      <c r="DM13" s="1">
        <f>T13* 1833.1</f>
        <v>1765.5419365144799</v>
      </c>
      <c r="DN13" s="1">
        <f t="shared" si="18"/>
        <v>0</v>
      </c>
      <c r="DO13" s="1">
        <f t="shared" si="9"/>
        <v>0.21851854362772727</v>
      </c>
      <c r="DP13" s="1">
        <f t="shared" ref="DP13:DP19" si="30">DQ13/100+(1-(DH13/CX13))+DN13</f>
        <v>5.5220235090164209E-2</v>
      </c>
      <c r="DQ13" s="1">
        <f t="shared" ref="DQ13:DQ25" si="31">5.658+0.04651*CS13+3.151*10^-4*CS13^3*CT13^-1-0.1854*CT13^0.77</f>
        <v>5.5220235090164209</v>
      </c>
      <c r="DR13" s="82">
        <f t="shared" si="11"/>
        <v>297.0740298655424</v>
      </c>
      <c r="DS13" s="82">
        <f t="shared" ref="DS13:DS25" si="32">DI13-DI13*DB13</f>
        <v>1.9846421653601953E-2</v>
      </c>
      <c r="DT13" s="2">
        <f t="shared" ref="DT13:DT25" si="33">(DI13-DS13)/DI13</f>
        <v>0.93090000000000006</v>
      </c>
    </row>
    <row r="14" spans="1:124" s="19" customFormat="1" ht="16.5" x14ac:dyDescent="0.35">
      <c r="A14" s="65" t="s">
        <v>50</v>
      </c>
      <c r="B14" s="9">
        <v>1</v>
      </c>
      <c r="C14" s="16">
        <v>42340</v>
      </c>
      <c r="D14" s="17">
        <v>0.15625</v>
      </c>
      <c r="E14" s="98" t="s">
        <v>320</v>
      </c>
      <c r="F14" s="98" t="s">
        <v>321</v>
      </c>
      <c r="G14" s="9" t="s">
        <v>71</v>
      </c>
      <c r="H14" s="9" t="s">
        <v>169</v>
      </c>
      <c r="I14" s="9" t="s">
        <v>93</v>
      </c>
      <c r="J14" s="9">
        <v>2</v>
      </c>
      <c r="K14" s="80">
        <v>4.7489999999999997</v>
      </c>
      <c r="L14" s="80">
        <f t="shared" si="19"/>
        <v>2.8476666666666661</v>
      </c>
      <c r="M14" s="81">
        <v>49.44</v>
      </c>
      <c r="N14" s="81">
        <f t="shared" si="20"/>
        <v>49.344999999999999</v>
      </c>
      <c r="O14" s="34">
        <v>891</v>
      </c>
      <c r="P14" s="5">
        <f t="shared" si="21"/>
        <v>482</v>
      </c>
      <c r="Q14" s="37">
        <f t="shared" si="22"/>
        <v>0.90713190111885866</v>
      </c>
      <c r="R14" s="37">
        <f t="shared" si="23"/>
        <v>5.3307857714257889E-3</v>
      </c>
      <c r="S14" s="38">
        <f t="shared" si="24"/>
        <v>9.2373038941006291E-2</v>
      </c>
      <c r="T14" s="37">
        <f t="shared" si="25"/>
        <v>0.90229617528756789</v>
      </c>
      <c r="U14" s="18">
        <v>67.3</v>
      </c>
      <c r="V14" s="10">
        <v>4014</v>
      </c>
      <c r="W14" s="10">
        <v>9</v>
      </c>
      <c r="X14" s="10">
        <v>29240</v>
      </c>
      <c r="Y14" s="22">
        <v>63.9</v>
      </c>
      <c r="Z14" s="18">
        <v>25.3</v>
      </c>
      <c r="AA14" s="22">
        <v>37.700000000000003</v>
      </c>
      <c r="AB14" s="22">
        <v>33104</v>
      </c>
      <c r="AC14" s="22">
        <v>1199.4000000000001</v>
      </c>
      <c r="AD14" s="22">
        <v>1791.4</v>
      </c>
      <c r="AE14" s="18">
        <v>256</v>
      </c>
      <c r="AF14" s="22">
        <v>805.5</v>
      </c>
      <c r="AG14" s="10">
        <v>135904</v>
      </c>
      <c r="AH14" s="10">
        <v>768613</v>
      </c>
      <c r="AI14" s="10">
        <v>713679</v>
      </c>
      <c r="AJ14" s="10">
        <v>27834</v>
      </c>
      <c r="AK14" s="10">
        <v>164099</v>
      </c>
      <c r="AL14" s="10">
        <v>2140</v>
      </c>
      <c r="AM14" s="10">
        <v>6068</v>
      </c>
      <c r="AN14" s="10">
        <v>26996</v>
      </c>
      <c r="AO14" s="10">
        <v>8382</v>
      </c>
      <c r="AP14" s="10">
        <v>5056</v>
      </c>
      <c r="AQ14" s="10">
        <v>2800</v>
      </c>
      <c r="AR14" s="10">
        <v>915</v>
      </c>
      <c r="AS14" s="10">
        <v>1412</v>
      </c>
      <c r="AT14" s="10">
        <v>-999</v>
      </c>
      <c r="AU14" s="10">
        <v>12707</v>
      </c>
      <c r="AV14" s="10">
        <v>32351</v>
      </c>
      <c r="AW14" s="10">
        <v>2062</v>
      </c>
      <c r="AX14" s="10">
        <v>1123</v>
      </c>
      <c r="AY14" s="10">
        <v>10355</v>
      </c>
      <c r="AZ14" s="10">
        <v>2845</v>
      </c>
      <c r="BA14" s="10">
        <v>1026</v>
      </c>
      <c r="BB14" s="10">
        <v>4225</v>
      </c>
      <c r="BC14" s="10">
        <v>282</v>
      </c>
      <c r="BD14" s="10">
        <v>1569</v>
      </c>
      <c r="BE14" s="10">
        <v>1085</v>
      </c>
      <c r="BF14" s="10">
        <v>1627</v>
      </c>
      <c r="BG14" s="10">
        <v>329</v>
      </c>
      <c r="BH14" s="10">
        <v>1868</v>
      </c>
      <c r="BI14" s="10">
        <v>871</v>
      </c>
      <c r="BJ14" s="10">
        <v>7552</v>
      </c>
      <c r="BK14" s="10">
        <v>2648</v>
      </c>
      <c r="BL14" s="10">
        <v>1448</v>
      </c>
      <c r="BM14" s="10">
        <v>2583</v>
      </c>
      <c r="BN14" s="10">
        <v>217</v>
      </c>
      <c r="BO14" s="12">
        <v>134546</v>
      </c>
      <c r="BP14" s="10">
        <v>38544</v>
      </c>
      <c r="BQ14" s="10">
        <v>3478</v>
      </c>
      <c r="BR14" s="10">
        <v>6124</v>
      </c>
      <c r="BS14" s="10">
        <v>2621</v>
      </c>
      <c r="BT14" s="10">
        <v>-999</v>
      </c>
      <c r="BU14" s="10">
        <v>107</v>
      </c>
      <c r="BV14" s="10">
        <v>316</v>
      </c>
      <c r="BW14" s="10">
        <v>-999</v>
      </c>
      <c r="BX14" s="10">
        <v>-999</v>
      </c>
      <c r="BY14" s="10">
        <v>239</v>
      </c>
      <c r="BZ14" s="10">
        <v>1131</v>
      </c>
      <c r="CA14" s="10">
        <v>1155</v>
      </c>
      <c r="CB14" s="10">
        <v>905</v>
      </c>
      <c r="CC14" s="10">
        <v>-999</v>
      </c>
      <c r="CD14" s="10">
        <v>239766</v>
      </c>
      <c r="CE14" s="10">
        <v>46703</v>
      </c>
      <c r="CF14" s="10">
        <v>9041</v>
      </c>
      <c r="CG14" s="10">
        <v>4554</v>
      </c>
      <c r="CH14" s="10">
        <v>5031</v>
      </c>
      <c r="CI14" s="10">
        <v>-999</v>
      </c>
      <c r="CJ14" s="10">
        <v>-999</v>
      </c>
      <c r="CK14" s="10">
        <v>1679</v>
      </c>
      <c r="CL14" s="10">
        <v>913</v>
      </c>
      <c r="CM14" s="2">
        <f>P14/(P14+N14)</f>
        <v>0.90713190111885866</v>
      </c>
      <c r="CN14" s="2">
        <f>L14/(L14+N14+P14)</f>
        <v>5.3307857714257889E-3</v>
      </c>
      <c r="CO14" s="2">
        <f t="shared" si="26"/>
        <v>3.5535017952324308</v>
      </c>
      <c r="CP14" s="9">
        <v>1</v>
      </c>
      <c r="CQ14" s="9">
        <v>1.2</v>
      </c>
      <c r="CR14" s="1">
        <v>1</v>
      </c>
      <c r="CS14" s="9">
        <v>36</v>
      </c>
      <c r="CT14" s="9">
        <v>27.5</v>
      </c>
      <c r="CU14" s="9">
        <v>3</v>
      </c>
      <c r="CV14" s="9">
        <v>5</v>
      </c>
      <c r="CW14" s="9">
        <v>3</v>
      </c>
      <c r="CX14" s="9">
        <v>0.66666999999999998</v>
      </c>
      <c r="CY14" s="9">
        <v>1.5</v>
      </c>
      <c r="CZ14" s="9">
        <v>2</v>
      </c>
      <c r="DA14" s="9">
        <v>95</v>
      </c>
      <c r="DB14" s="9">
        <v>0.9405</v>
      </c>
      <c r="DC14" s="9">
        <v>1</v>
      </c>
      <c r="DD14" s="9">
        <v>1</v>
      </c>
      <c r="DE14" s="9">
        <v>751</v>
      </c>
      <c r="DF14" s="1">
        <f t="shared" si="27"/>
        <v>1.3315579227696404E-2</v>
      </c>
      <c r="DG14" s="93">
        <v>20000</v>
      </c>
      <c r="DH14" s="9">
        <f t="shared" si="15"/>
        <v>0.66666999999999998</v>
      </c>
      <c r="DI14" s="1">
        <f t="shared" si="29"/>
        <v>0.63008351758739167</v>
      </c>
      <c r="DJ14" s="9">
        <v>1</v>
      </c>
      <c r="DK14" s="1">
        <f t="shared" si="28"/>
        <v>3.5535017952324308</v>
      </c>
      <c r="DL14" s="1">
        <f>S14*1166.6</f>
        <v>107.76238722857794</v>
      </c>
      <c r="DM14" s="1">
        <f>T14* 1833.1</f>
        <v>1653.9991189196405</v>
      </c>
      <c r="DN14" s="1">
        <f t="shared" si="18"/>
        <v>0</v>
      </c>
      <c r="DO14" s="1">
        <f t="shared" ref="DO14:DO19" si="34">DK14*DI14*DT14*DA14/100</f>
        <v>2.0004931258102676</v>
      </c>
      <c r="DP14" s="1">
        <f t="shared" si="30"/>
        <v>5.48794492216663E-2</v>
      </c>
      <c r="DQ14" s="1">
        <f t="shared" si="31"/>
        <v>5.4879449221666299</v>
      </c>
      <c r="DR14" s="82">
        <f t="shared" si="11"/>
        <v>157.81452684179544</v>
      </c>
      <c r="DS14" s="82">
        <f t="shared" si="32"/>
        <v>3.7489969296449766E-2</v>
      </c>
      <c r="DT14" s="2">
        <f t="shared" si="33"/>
        <v>0.94050000000000011</v>
      </c>
    </row>
    <row r="15" spans="1:124" ht="16.5" x14ac:dyDescent="0.35">
      <c r="A15" s="65" t="s">
        <v>47</v>
      </c>
      <c r="B15" s="1">
        <v>2</v>
      </c>
      <c r="C15" s="6">
        <v>42379</v>
      </c>
      <c r="D15" s="17">
        <v>0.60416666666666663</v>
      </c>
      <c r="E15" s="98" t="s">
        <v>322</v>
      </c>
      <c r="F15" s="98" t="s">
        <v>323</v>
      </c>
      <c r="G15" s="9" t="s">
        <v>71</v>
      </c>
      <c r="H15" s="9" t="s">
        <v>164</v>
      </c>
      <c r="I15" s="9" t="s">
        <v>76</v>
      </c>
      <c r="J15" s="9">
        <v>2</v>
      </c>
      <c r="K15" s="80">
        <v>186.44900000000001</v>
      </c>
      <c r="L15" s="80">
        <f t="shared" si="19"/>
        <v>184.54766666666669</v>
      </c>
      <c r="M15" s="81">
        <v>3536.48</v>
      </c>
      <c r="N15" s="81">
        <f t="shared" si="20"/>
        <v>3536.3850000000002</v>
      </c>
      <c r="O15" s="33">
        <v>29941</v>
      </c>
      <c r="P15" s="5">
        <f t="shared" si="21"/>
        <v>29532</v>
      </c>
      <c r="Q15" s="37">
        <f t="shared" si="22"/>
        <v>0.8930584302801603</v>
      </c>
      <c r="R15" s="37">
        <f t="shared" si="23"/>
        <v>5.5498162678343423E-3</v>
      </c>
      <c r="S15" s="38">
        <f t="shared" si="24"/>
        <v>0.10634806365650076</v>
      </c>
      <c r="T15" s="37">
        <f t="shared" si="25"/>
        <v>0.88810212007566491</v>
      </c>
      <c r="U15" s="8">
        <v>-999</v>
      </c>
      <c r="V15" s="10">
        <v>341437</v>
      </c>
      <c r="W15" s="10">
        <v>5066</v>
      </c>
      <c r="X15" s="3">
        <v>1096511</v>
      </c>
      <c r="Y15" s="21">
        <v>10831.3</v>
      </c>
      <c r="Z15" s="18">
        <v>3693.3</v>
      </c>
      <c r="AA15" s="22">
        <v>3749.3</v>
      </c>
      <c r="AB15" s="22">
        <v>4279987.3</v>
      </c>
      <c r="AC15" s="22">
        <v>223847.9</v>
      </c>
      <c r="AD15" s="22">
        <v>24646.9</v>
      </c>
      <c r="AE15" s="18">
        <v>11607.7</v>
      </c>
      <c r="AF15" s="21">
        <v>1429.2</v>
      </c>
      <c r="AG15" s="3">
        <v>19167867</v>
      </c>
      <c r="AH15" s="3">
        <v>162498297</v>
      </c>
      <c r="AI15" s="3">
        <v>182861297</v>
      </c>
      <c r="AJ15" s="3">
        <v>2146176</v>
      </c>
      <c r="AK15" s="3">
        <v>24970933</v>
      </c>
      <c r="AL15" s="3">
        <v>54562</v>
      </c>
      <c r="AM15" s="3">
        <v>172793</v>
      </c>
      <c r="AN15" s="3">
        <v>3325962</v>
      </c>
      <c r="AO15" s="3">
        <v>1038485</v>
      </c>
      <c r="AP15" s="3">
        <v>592629</v>
      </c>
      <c r="AQ15" s="3">
        <v>466003</v>
      </c>
      <c r="AR15" s="10">
        <v>14985</v>
      </c>
      <c r="AS15" s="3">
        <v>27377</v>
      </c>
      <c r="AT15" s="3">
        <v>4444444</v>
      </c>
      <c r="AU15" s="3">
        <v>2926260</v>
      </c>
      <c r="AV15" s="3">
        <v>7282698</v>
      </c>
      <c r="AW15" s="3">
        <v>344922</v>
      </c>
      <c r="AX15" s="3">
        <v>201720</v>
      </c>
      <c r="AY15" s="3">
        <v>2023768</v>
      </c>
      <c r="AZ15" s="3">
        <v>719268</v>
      </c>
      <c r="BA15" s="3">
        <v>216908</v>
      </c>
      <c r="BB15" s="3">
        <v>202257</v>
      </c>
      <c r="BC15" s="10">
        <v>57291</v>
      </c>
      <c r="BD15" s="3">
        <v>262882</v>
      </c>
      <c r="BE15" s="3">
        <v>166881</v>
      </c>
      <c r="BF15" s="3">
        <v>234137</v>
      </c>
      <c r="BG15" s="3">
        <v>139345</v>
      </c>
      <c r="BH15" s="3">
        <v>97281</v>
      </c>
      <c r="BI15" s="3">
        <v>87241</v>
      </c>
      <c r="BJ15" s="3">
        <v>198661</v>
      </c>
      <c r="BK15" s="3">
        <v>59229</v>
      </c>
      <c r="BL15" s="3">
        <v>33186</v>
      </c>
      <c r="BM15" s="3">
        <v>7701</v>
      </c>
      <c r="BN15" s="10">
        <v>3154</v>
      </c>
      <c r="BO15" s="12">
        <v>36792965</v>
      </c>
      <c r="BP15" s="3">
        <v>9240474</v>
      </c>
      <c r="BQ15" s="3">
        <v>610145</v>
      </c>
      <c r="BR15" s="3">
        <v>1257972</v>
      </c>
      <c r="BS15" s="3">
        <v>200420</v>
      </c>
      <c r="BT15" s="3">
        <v>98649</v>
      </c>
      <c r="BU15" s="3">
        <v>20020</v>
      </c>
      <c r="BV15" s="3">
        <v>18479</v>
      </c>
      <c r="BW15" s="3">
        <v>45786</v>
      </c>
      <c r="BX15" s="3">
        <v>24204</v>
      </c>
      <c r="BY15" s="3">
        <v>30532</v>
      </c>
      <c r="BZ15" s="3">
        <v>4344</v>
      </c>
      <c r="CA15" s="3">
        <v>87034</v>
      </c>
      <c r="CB15" s="3">
        <v>-999</v>
      </c>
      <c r="CC15" s="10">
        <v>-999</v>
      </c>
      <c r="CD15" s="3">
        <v>27506507</v>
      </c>
      <c r="CE15" s="3">
        <v>3856242</v>
      </c>
      <c r="CF15" s="3">
        <v>1038822</v>
      </c>
      <c r="CG15" s="3">
        <v>433301</v>
      </c>
      <c r="CH15" s="3">
        <v>1351686</v>
      </c>
      <c r="CI15" s="3">
        <v>21376669</v>
      </c>
      <c r="CJ15" s="3">
        <v>949175</v>
      </c>
      <c r="CK15" s="3">
        <v>1237896</v>
      </c>
      <c r="CL15" s="3">
        <v>266394</v>
      </c>
      <c r="CM15" s="2">
        <f>P15/(P15+N15)</f>
        <v>0.8930584302801603</v>
      </c>
      <c r="CN15" s="2">
        <f>L15/(L15+N15+P15)</f>
        <v>5.5498162678343423E-3</v>
      </c>
      <c r="CO15" s="2">
        <f t="shared" si="26"/>
        <v>3.6995075241383728</v>
      </c>
      <c r="CP15" s="1">
        <v>2</v>
      </c>
      <c r="CQ15" s="1">
        <v>1.3</v>
      </c>
      <c r="CR15" s="1">
        <v>1</v>
      </c>
      <c r="CS15" s="1">
        <v>27.1</v>
      </c>
      <c r="CT15" s="1">
        <v>33.6</v>
      </c>
      <c r="CU15" s="1">
        <v>4</v>
      </c>
      <c r="CV15" s="1">
        <v>2</v>
      </c>
      <c r="CW15" s="1">
        <v>1</v>
      </c>
      <c r="CX15" s="1">
        <v>0.39566000000000007</v>
      </c>
      <c r="CY15" s="1">
        <v>1</v>
      </c>
      <c r="CZ15" s="1">
        <v>2</v>
      </c>
      <c r="DA15" s="1">
        <v>98</v>
      </c>
      <c r="DB15" s="1">
        <v>0.94359999999999999</v>
      </c>
      <c r="DC15" s="1">
        <v>1</v>
      </c>
      <c r="DD15" s="1">
        <v>0</v>
      </c>
      <c r="DE15" s="1">
        <v>480</v>
      </c>
      <c r="DF15" s="1">
        <f t="shared" si="27"/>
        <v>2.0833333333333332E-2</v>
      </c>
      <c r="DG15" s="92">
        <v>20000</v>
      </c>
      <c r="DH15" s="9">
        <f t="shared" si="15"/>
        <v>0.39566000000000007</v>
      </c>
      <c r="DI15" s="1">
        <f t="shared" si="29"/>
        <v>0.27961589591749658</v>
      </c>
      <c r="DJ15" s="1">
        <v>1</v>
      </c>
      <c r="DK15" s="1">
        <f t="shared" si="28"/>
        <v>3.6995075241383728</v>
      </c>
      <c r="DL15" s="1">
        <f>S15*1166.6</f>
        <v>124.06565106167378</v>
      </c>
      <c r="DM15" s="1">
        <f>T15* 1833.1</f>
        <v>1627.9799963107014</v>
      </c>
      <c r="DN15" s="1">
        <v>0.25</v>
      </c>
      <c r="DO15" s="1">
        <f t="shared" si="34"/>
        <v>0.95657665952216864</v>
      </c>
      <c r="DP15" s="1">
        <f t="shared" si="30"/>
        <v>0.29329248365390359</v>
      </c>
      <c r="DQ15" s="1">
        <f t="shared" si="31"/>
        <v>4.329248365390356</v>
      </c>
      <c r="DR15" s="82">
        <f t="shared" si="11"/>
        <v>109.93564974489573</v>
      </c>
      <c r="DS15" s="82">
        <f t="shared" si="32"/>
        <v>1.5770336529746798E-2</v>
      </c>
      <c r="DT15" s="2">
        <f t="shared" si="33"/>
        <v>0.94359999999999999</v>
      </c>
    </row>
    <row r="16" spans="1:124" ht="13" customHeight="1" x14ac:dyDescent="0.35">
      <c r="A16" s="65" t="s">
        <v>40</v>
      </c>
      <c r="B16" s="1">
        <v>1</v>
      </c>
      <c r="C16" s="6">
        <v>42334</v>
      </c>
      <c r="D16" s="7">
        <v>0.66527777777777775</v>
      </c>
      <c r="E16" s="87" t="s">
        <v>272</v>
      </c>
      <c r="F16" s="87" t="s">
        <v>273</v>
      </c>
      <c r="G16" s="9" t="s">
        <v>256</v>
      </c>
      <c r="H16" s="9" t="s">
        <v>178</v>
      </c>
      <c r="I16" s="9" t="s">
        <v>87</v>
      </c>
      <c r="J16" s="9">
        <v>1</v>
      </c>
      <c r="K16" s="80">
        <v>17.454000000000001</v>
      </c>
      <c r="L16" s="80">
        <f t="shared" si="19"/>
        <v>15.552666666666667</v>
      </c>
      <c r="M16" s="81">
        <v>348.12</v>
      </c>
      <c r="N16" s="81">
        <f t="shared" si="20"/>
        <v>348.02499999999998</v>
      </c>
      <c r="O16" s="33">
        <v>2009</v>
      </c>
      <c r="P16" s="33">
        <f t="shared" si="21"/>
        <v>1600</v>
      </c>
      <c r="Q16" s="37">
        <f t="shared" si="22"/>
        <v>0.82134469526828446</v>
      </c>
      <c r="R16" s="37">
        <f t="shared" si="23"/>
        <v>7.9205762678430693E-3</v>
      </c>
      <c r="S16" s="38">
        <f t="shared" si="24"/>
        <v>0.17724025176493316</v>
      </c>
      <c r="T16" s="37">
        <f t="shared" si="25"/>
        <v>0.81483917196722366</v>
      </c>
      <c r="U16" s="8">
        <v>78</v>
      </c>
      <c r="V16" s="3">
        <v>22621</v>
      </c>
      <c r="W16" s="3">
        <v>928</v>
      </c>
      <c r="X16" s="3">
        <v>176870</v>
      </c>
      <c r="Y16" s="21">
        <v>1222.5999999999999</v>
      </c>
      <c r="Z16" s="18">
        <v>174.4</v>
      </c>
      <c r="AA16" s="21">
        <v>725.8</v>
      </c>
      <c r="AB16" s="21">
        <v>1662.7</v>
      </c>
      <c r="AC16" s="21">
        <v>141</v>
      </c>
      <c r="AD16" s="21">
        <v>-999</v>
      </c>
      <c r="AE16" s="18">
        <v>24.6</v>
      </c>
      <c r="AF16" s="21">
        <v>51</v>
      </c>
      <c r="AG16" s="3">
        <v>902866</v>
      </c>
      <c r="AH16" s="3">
        <v>3386378</v>
      </c>
      <c r="AI16" s="3">
        <v>2180425</v>
      </c>
      <c r="AJ16" s="3">
        <v>225915</v>
      </c>
      <c r="AK16" s="3">
        <v>1250670</v>
      </c>
      <c r="AL16" s="3">
        <v>53496</v>
      </c>
      <c r="AM16" s="3">
        <v>117193</v>
      </c>
      <c r="AN16" s="3">
        <v>255051</v>
      </c>
      <c r="AO16" s="3">
        <v>146329</v>
      </c>
      <c r="AP16" s="3">
        <v>62774</v>
      </c>
      <c r="AQ16" s="3">
        <v>45636</v>
      </c>
      <c r="AR16" s="3">
        <v>8207</v>
      </c>
      <c r="AS16" s="3">
        <v>17505</v>
      </c>
      <c r="AT16" s="3">
        <v>342723</v>
      </c>
      <c r="AU16" s="3">
        <v>66081</v>
      </c>
      <c r="AV16" s="3">
        <v>198939</v>
      </c>
      <c r="AW16" s="3">
        <v>15400</v>
      </c>
      <c r="AX16" s="3">
        <v>10275</v>
      </c>
      <c r="AY16" s="3">
        <v>63121</v>
      </c>
      <c r="AZ16" s="3">
        <v>4131</v>
      </c>
      <c r="BA16" s="3">
        <v>13432</v>
      </c>
      <c r="BB16" s="3">
        <v>51785</v>
      </c>
      <c r="BC16" s="3">
        <v>388126</v>
      </c>
      <c r="BD16" s="3">
        <v>20172</v>
      </c>
      <c r="BE16" s="3">
        <v>12504</v>
      </c>
      <c r="BF16" s="3">
        <v>18774</v>
      </c>
      <c r="BG16" s="3">
        <v>28181</v>
      </c>
      <c r="BH16" s="3">
        <v>33730</v>
      </c>
      <c r="BI16" s="3">
        <v>26381</v>
      </c>
      <c r="BJ16" s="3">
        <v>76376</v>
      </c>
      <c r="BK16" s="3">
        <v>30162</v>
      </c>
      <c r="BL16" s="3">
        <v>14972</v>
      </c>
      <c r="BM16" s="3">
        <v>10189</v>
      </c>
      <c r="BN16" s="3">
        <v>2050</v>
      </c>
      <c r="BO16" s="12">
        <v>549520</v>
      </c>
      <c r="BP16" s="3">
        <v>230786</v>
      </c>
      <c r="BQ16" s="3">
        <v>20065</v>
      </c>
      <c r="BR16" s="3">
        <v>52326</v>
      </c>
      <c r="BS16" s="3">
        <v>18945</v>
      </c>
      <c r="BT16" s="3">
        <v>27323</v>
      </c>
      <c r="BU16" s="3">
        <v>756</v>
      </c>
      <c r="BV16" s="3">
        <v>1456</v>
      </c>
      <c r="BW16" s="3">
        <v>4775</v>
      </c>
      <c r="BX16" s="3">
        <v>2762</v>
      </c>
      <c r="BY16" s="3">
        <v>1923</v>
      </c>
      <c r="BZ16" s="3">
        <v>3711</v>
      </c>
      <c r="CA16" s="3">
        <v>10879</v>
      </c>
      <c r="CB16" s="3">
        <v>4188</v>
      </c>
      <c r="CC16" s="3">
        <v>-999</v>
      </c>
      <c r="CD16" s="3">
        <v>1758828</v>
      </c>
      <c r="CE16" s="3">
        <v>227634</v>
      </c>
      <c r="CF16" s="3">
        <v>53885</v>
      </c>
      <c r="CG16" s="3">
        <v>38200</v>
      </c>
      <c r="CH16" s="3">
        <v>2274</v>
      </c>
      <c r="CI16" s="3">
        <v>576657</v>
      </c>
      <c r="CJ16" s="3">
        <v>37236</v>
      </c>
      <c r="CK16" s="3">
        <v>239014</v>
      </c>
      <c r="CL16" s="3">
        <v>57208</v>
      </c>
      <c r="CM16" s="2">
        <f>P16/(P16+N16)</f>
        <v>0.82134469526828446</v>
      </c>
      <c r="CN16" s="2">
        <f>L16/(L16+N16+P16)</f>
        <v>7.9205762678430693E-3</v>
      </c>
      <c r="CO16" s="2">
        <f t="shared" si="26"/>
        <v>5.2798561401441901</v>
      </c>
      <c r="CP16" s="1">
        <v>1</v>
      </c>
      <c r="CQ16" s="1">
        <v>0.9</v>
      </c>
      <c r="CR16" s="1">
        <v>0.47</v>
      </c>
      <c r="CS16" s="1">
        <v>26.5</v>
      </c>
      <c r="CT16" s="1">
        <v>34.1</v>
      </c>
      <c r="CU16" s="1">
        <v>3</v>
      </c>
      <c r="CV16" s="1">
        <v>2</v>
      </c>
      <c r="CW16" s="1">
        <v>1</v>
      </c>
      <c r="CX16" s="1">
        <v>0.37433999999999995</v>
      </c>
      <c r="CY16" s="1">
        <v>1.6</v>
      </c>
      <c r="CZ16" s="1">
        <v>1</v>
      </c>
      <c r="DA16" s="1">
        <v>90</v>
      </c>
      <c r="DB16" s="1">
        <v>0.94480000000000008</v>
      </c>
      <c r="DC16" s="1">
        <v>1</v>
      </c>
      <c r="DD16" s="1">
        <v>1</v>
      </c>
      <c r="DE16" s="1">
        <v>294</v>
      </c>
      <c r="DF16" s="1">
        <f t="shared" si="27"/>
        <v>3.4013605442176874E-2</v>
      </c>
      <c r="DG16" s="92">
        <v>20000</v>
      </c>
      <c r="DH16" s="9">
        <f t="shared" si="15"/>
        <v>0.37433999999999995</v>
      </c>
      <c r="DI16" s="1">
        <f t="shared" si="29"/>
        <v>0.26482718258867682</v>
      </c>
      <c r="DJ16" s="1">
        <v>1</v>
      </c>
      <c r="DK16" s="1">
        <f t="shared" si="28"/>
        <v>5.2798561401441901</v>
      </c>
      <c r="DL16" s="1">
        <f>S16*1166.6</f>
        <v>206.76847770897101</v>
      </c>
      <c r="DM16" s="1">
        <f>T16* 1833.1</f>
        <v>1493.6816861331176</v>
      </c>
      <c r="DN16" s="1">
        <v>0.25</v>
      </c>
      <c r="DO16" s="1">
        <f t="shared" si="34"/>
        <v>1.1889594519740672</v>
      </c>
      <c r="DP16" s="1">
        <f t="shared" si="30"/>
        <v>0.29254906611989939</v>
      </c>
      <c r="DQ16" s="1">
        <f t="shared" si="31"/>
        <v>4.2549066119899397</v>
      </c>
      <c r="DR16" s="82">
        <f t="shared" si="11"/>
        <v>170.21001504066797</v>
      </c>
      <c r="DS16" s="82">
        <f t="shared" si="32"/>
        <v>1.4618460478894924E-2</v>
      </c>
      <c r="DT16" s="2">
        <f t="shared" si="33"/>
        <v>0.9448000000000002</v>
      </c>
    </row>
    <row r="17" spans="1:124" ht="16" customHeight="1" x14ac:dyDescent="0.35">
      <c r="A17" s="65" t="s">
        <v>21</v>
      </c>
      <c r="B17" s="1">
        <v>1</v>
      </c>
      <c r="C17" s="6">
        <v>42339</v>
      </c>
      <c r="D17" s="7">
        <v>0.64583333333333337</v>
      </c>
      <c r="E17" s="35" t="s">
        <v>272</v>
      </c>
      <c r="F17" s="35" t="s">
        <v>273</v>
      </c>
      <c r="G17" s="9" t="s">
        <v>71</v>
      </c>
      <c r="H17" s="9" t="s">
        <v>179</v>
      </c>
      <c r="I17" s="9" t="s">
        <v>86</v>
      </c>
      <c r="J17" s="9">
        <v>2</v>
      </c>
      <c r="K17" s="80">
        <v>5.8230000000000004</v>
      </c>
      <c r="L17" s="80">
        <f t="shared" si="19"/>
        <v>3.9216666666666669</v>
      </c>
      <c r="M17" s="81">
        <v>237.84</v>
      </c>
      <c r="N17" s="81">
        <f t="shared" si="20"/>
        <v>237.745</v>
      </c>
      <c r="O17" s="33">
        <v>902</v>
      </c>
      <c r="P17" s="33">
        <f t="shared" si="21"/>
        <v>493</v>
      </c>
      <c r="Q17" s="37">
        <f t="shared" si="22"/>
        <v>0.67465394905199483</v>
      </c>
      <c r="R17" s="37">
        <f t="shared" si="23"/>
        <v>5.3380217785843915E-3</v>
      </c>
      <c r="S17" s="38">
        <f t="shared" si="24"/>
        <v>0.32360934664246821</v>
      </c>
      <c r="T17" s="37">
        <f t="shared" si="25"/>
        <v>0.67105263157894746</v>
      </c>
      <c r="U17" s="8">
        <v>38</v>
      </c>
      <c r="V17" s="3">
        <v>13894</v>
      </c>
      <c r="W17" s="3">
        <v>327</v>
      </c>
      <c r="X17" s="3">
        <v>74482</v>
      </c>
      <c r="Y17" s="21">
        <v>807.4</v>
      </c>
      <c r="Z17" s="18">
        <v>1030.8</v>
      </c>
      <c r="AA17" s="21">
        <v>160.4</v>
      </c>
      <c r="AB17" s="21">
        <v>623.79999999999995</v>
      </c>
      <c r="AC17" s="21">
        <v>59.2</v>
      </c>
      <c r="AD17" s="21">
        <v>-999</v>
      </c>
      <c r="AE17" s="18">
        <v>20</v>
      </c>
      <c r="AF17" s="21">
        <v>23.2</v>
      </c>
      <c r="AG17" s="3">
        <v>546999</v>
      </c>
      <c r="AH17" s="3">
        <v>966978</v>
      </c>
      <c r="AI17" s="3">
        <v>1439296</v>
      </c>
      <c r="AJ17" s="3">
        <v>118372</v>
      </c>
      <c r="AK17" s="3">
        <v>668773</v>
      </c>
      <c r="AL17" s="3">
        <v>10295</v>
      </c>
      <c r="AM17" s="3">
        <v>29453</v>
      </c>
      <c r="AN17" s="3">
        <v>118007</v>
      </c>
      <c r="AO17" s="3">
        <v>83051</v>
      </c>
      <c r="AP17" s="3">
        <v>32067</v>
      </c>
      <c r="AQ17" s="3">
        <v>24075</v>
      </c>
      <c r="AR17" s="3">
        <v>4597</v>
      </c>
      <c r="AS17" s="3">
        <v>11783</v>
      </c>
      <c r="AT17" s="3">
        <v>52977</v>
      </c>
      <c r="AU17" s="3">
        <v>17259</v>
      </c>
      <c r="AV17" s="3">
        <v>31511</v>
      </c>
      <c r="AW17" s="3">
        <v>2601</v>
      </c>
      <c r="AX17" s="3">
        <v>1478</v>
      </c>
      <c r="AY17" s="3">
        <v>8499</v>
      </c>
      <c r="AZ17" s="3">
        <v>699</v>
      </c>
      <c r="BA17" s="3">
        <v>1744</v>
      </c>
      <c r="BB17" s="3">
        <v>27604</v>
      </c>
      <c r="BC17" s="3">
        <v>6014</v>
      </c>
      <c r="BD17" s="3">
        <v>5509</v>
      </c>
      <c r="BE17" s="3">
        <v>2211</v>
      </c>
      <c r="BF17" s="3">
        <v>5841</v>
      </c>
      <c r="BG17" s="3">
        <v>3101</v>
      </c>
      <c r="BH17" s="3">
        <v>3947</v>
      </c>
      <c r="BI17" s="3">
        <v>9210</v>
      </c>
      <c r="BJ17" s="3">
        <v>12080</v>
      </c>
      <c r="BK17" s="3">
        <v>-999</v>
      </c>
      <c r="BL17" s="3">
        <v>4842</v>
      </c>
      <c r="BM17" s="3">
        <v>9486</v>
      </c>
      <c r="BN17" s="3">
        <v>398</v>
      </c>
      <c r="BO17" s="12">
        <v>220951</v>
      </c>
      <c r="BP17" s="3">
        <v>94582</v>
      </c>
      <c r="BQ17" s="3">
        <v>3972</v>
      </c>
      <c r="BR17" s="3">
        <v>5858</v>
      </c>
      <c r="BS17" s="3">
        <v>5561</v>
      </c>
      <c r="BT17" s="3">
        <v>7915</v>
      </c>
      <c r="BU17" s="3">
        <v>463</v>
      </c>
      <c r="BV17" s="3">
        <v>926</v>
      </c>
      <c r="BW17" s="3">
        <v>3050</v>
      </c>
      <c r="BX17" s="3">
        <v>949</v>
      </c>
      <c r="BY17" s="3">
        <v>1425</v>
      </c>
      <c r="BZ17" s="3">
        <v>2802</v>
      </c>
      <c r="CA17" s="3">
        <v>5514</v>
      </c>
      <c r="CB17" s="3">
        <v>1969</v>
      </c>
      <c r="CC17" s="3">
        <v>47</v>
      </c>
      <c r="CD17" s="3">
        <v>804177</v>
      </c>
      <c r="CE17" s="3">
        <v>77014</v>
      </c>
      <c r="CF17" s="3">
        <v>16947</v>
      </c>
      <c r="CG17" s="3">
        <v>15017</v>
      </c>
      <c r="CH17" s="3">
        <v>1470</v>
      </c>
      <c r="CI17" s="3">
        <v>79869</v>
      </c>
      <c r="CJ17" s="3">
        <v>9927</v>
      </c>
      <c r="CK17" s="3">
        <v>81441</v>
      </c>
      <c r="CL17" s="3">
        <v>17209</v>
      </c>
      <c r="CM17" s="53">
        <f>P17/(P17+N17)</f>
        <v>0.67465394905199483</v>
      </c>
      <c r="CN17" s="53">
        <f>L17/(L17+N17+P17)</f>
        <v>5.3380217785843915E-3</v>
      </c>
      <c r="CO17" s="2">
        <f t="shared" si="26"/>
        <v>3.5583253176043557</v>
      </c>
      <c r="CP17" s="1">
        <v>1</v>
      </c>
      <c r="CQ17" s="1">
        <v>0.9</v>
      </c>
      <c r="CR17" s="1">
        <v>0.71</v>
      </c>
      <c r="CS17" s="1">
        <v>26.5</v>
      </c>
      <c r="CT17" s="1">
        <v>34.1</v>
      </c>
      <c r="CU17" s="1">
        <v>3</v>
      </c>
      <c r="CV17" s="1">
        <v>2</v>
      </c>
      <c r="CW17" s="1">
        <v>1</v>
      </c>
      <c r="CX17" s="1">
        <v>0.30733000000000005</v>
      </c>
      <c r="CY17" s="1">
        <v>1.5</v>
      </c>
      <c r="CZ17" s="1">
        <v>1</v>
      </c>
      <c r="DA17" s="1">
        <v>80</v>
      </c>
      <c r="DB17" s="1">
        <v>0.89810000000000001</v>
      </c>
      <c r="DC17" s="1">
        <v>1</v>
      </c>
      <c r="DD17" s="1">
        <v>1</v>
      </c>
      <c r="DE17" s="1">
        <v>300</v>
      </c>
      <c r="DF17" s="1">
        <f t="shared" si="27"/>
        <v>3.3333333333333333E-2</v>
      </c>
      <c r="DG17" s="92">
        <v>20000</v>
      </c>
      <c r="DH17" s="9">
        <f t="shared" si="15"/>
        <v>0.30733000000000005</v>
      </c>
      <c r="DI17" s="1">
        <f t="shared" si="29"/>
        <v>0.29425339550937135</v>
      </c>
      <c r="DJ17" s="1">
        <v>1</v>
      </c>
      <c r="DK17" s="1">
        <f t="shared" si="28"/>
        <v>3.5583253176043557</v>
      </c>
      <c r="DL17" s="1">
        <f>S17*1166.6</f>
        <v>377.52266379310339</v>
      </c>
      <c r="DM17" s="1">
        <f>T17* 1833.1</f>
        <v>1230.1065789473685</v>
      </c>
      <c r="DN17" s="1">
        <f>CX17-DH17</f>
        <v>0</v>
      </c>
      <c r="DO17" s="1">
        <f t="shared" si="34"/>
        <v>0.75228398611638303</v>
      </c>
      <c r="DP17" s="1">
        <f t="shared" si="30"/>
        <v>4.2549066119899399E-2</v>
      </c>
      <c r="DQ17" s="1">
        <f t="shared" si="31"/>
        <v>4.2549066119899397</v>
      </c>
      <c r="DR17" s="82">
        <f t="shared" si="11"/>
        <v>176.17931633797761</v>
      </c>
      <c r="DS17" s="82">
        <f t="shared" si="32"/>
        <v>2.9984421002404948E-2</v>
      </c>
      <c r="DT17" s="2">
        <f t="shared" si="33"/>
        <v>0.89810000000000001</v>
      </c>
    </row>
    <row r="18" spans="1:124" ht="12.5" customHeight="1" x14ac:dyDescent="0.35">
      <c r="A18" s="65" t="s">
        <v>43</v>
      </c>
      <c r="B18" s="1">
        <v>2</v>
      </c>
      <c r="C18" s="6">
        <v>42379</v>
      </c>
      <c r="D18" s="17">
        <v>0.625</v>
      </c>
      <c r="E18" s="98" t="s">
        <v>324</v>
      </c>
      <c r="F18" s="98" t="s">
        <v>325</v>
      </c>
      <c r="G18" s="9" t="s">
        <v>71</v>
      </c>
      <c r="H18" s="9" t="s">
        <v>165</v>
      </c>
      <c r="I18" s="9" t="s">
        <v>69</v>
      </c>
      <c r="J18" s="9">
        <v>2</v>
      </c>
      <c r="K18" s="80">
        <v>80.131</v>
      </c>
      <c r="L18" s="80">
        <f t="shared" si="19"/>
        <v>78.229666666666674</v>
      </c>
      <c r="M18" s="81">
        <v>1406.26</v>
      </c>
      <c r="N18" s="81">
        <f t="shared" si="20"/>
        <v>1406.165</v>
      </c>
      <c r="O18" s="33">
        <v>36351</v>
      </c>
      <c r="P18" s="33">
        <f t="shared" si="21"/>
        <v>35942</v>
      </c>
      <c r="Q18" s="37">
        <f t="shared" si="22"/>
        <v>0.96234982361248533</v>
      </c>
      <c r="R18" s="37">
        <f t="shared" si="23"/>
        <v>2.0902271608956476E-3</v>
      </c>
      <c r="S18" s="38">
        <f t="shared" si="24"/>
        <v>3.7571478966216924E-2</v>
      </c>
      <c r="T18" s="37">
        <f t="shared" si="25"/>
        <v>0.96033829387288738</v>
      </c>
      <c r="U18" s="8">
        <v>97.6</v>
      </c>
      <c r="V18" s="10">
        <v>78211</v>
      </c>
      <c r="W18" s="10">
        <v>-999</v>
      </c>
      <c r="X18" s="3">
        <v>122907</v>
      </c>
      <c r="Y18" s="21">
        <v>7822.6</v>
      </c>
      <c r="Z18" s="18">
        <v>2324.6</v>
      </c>
      <c r="AA18" s="22">
        <v>595.20000000000005</v>
      </c>
      <c r="AB18" s="22">
        <v>68217.399999999994</v>
      </c>
      <c r="AC18" s="22">
        <v>2617.8000000000002</v>
      </c>
      <c r="AD18" s="22">
        <v>1252</v>
      </c>
      <c r="AE18" s="18">
        <v>373.6</v>
      </c>
      <c r="AF18" s="21">
        <v>277</v>
      </c>
      <c r="AG18" s="3">
        <v>2106064</v>
      </c>
      <c r="AH18" s="3">
        <v>29732716</v>
      </c>
      <c r="AI18" s="3">
        <v>52793419</v>
      </c>
      <c r="AJ18" s="3">
        <v>159054</v>
      </c>
      <c r="AK18" s="3">
        <v>2775922</v>
      </c>
      <c r="AL18" s="3">
        <v>3884</v>
      </c>
      <c r="AM18" s="3">
        <v>12304</v>
      </c>
      <c r="AN18" s="3">
        <v>229453</v>
      </c>
      <c r="AO18" s="3">
        <v>109979</v>
      </c>
      <c r="AP18" s="3">
        <v>42076</v>
      </c>
      <c r="AQ18" s="3">
        <v>35827</v>
      </c>
      <c r="AR18" s="3">
        <v>-999</v>
      </c>
      <c r="AS18" s="3">
        <v>-999</v>
      </c>
      <c r="AT18" s="3">
        <v>29560</v>
      </c>
      <c r="AU18" s="3">
        <v>597157</v>
      </c>
      <c r="AV18" s="3">
        <v>1309185</v>
      </c>
      <c r="AW18" s="3">
        <v>38314</v>
      </c>
      <c r="AX18" s="3">
        <v>17426</v>
      </c>
      <c r="AY18" s="3">
        <v>538345</v>
      </c>
      <c r="AZ18" s="3">
        <v>286696</v>
      </c>
      <c r="BA18" s="3">
        <v>25535</v>
      </c>
      <c r="BB18" s="3">
        <v>17065</v>
      </c>
      <c r="BC18" s="10">
        <v>1801</v>
      </c>
      <c r="BD18" s="3">
        <v>11962</v>
      </c>
      <c r="BE18" s="3">
        <v>7176</v>
      </c>
      <c r="BF18" s="3">
        <v>11367</v>
      </c>
      <c r="BG18" s="3">
        <v>6594</v>
      </c>
      <c r="BH18" s="3">
        <v>2941</v>
      </c>
      <c r="BI18" s="3">
        <v>8673</v>
      </c>
      <c r="BJ18" s="3">
        <v>17237</v>
      </c>
      <c r="BK18" s="3">
        <v>5785</v>
      </c>
      <c r="BL18" s="3">
        <v>3961</v>
      </c>
      <c r="BM18" s="3">
        <v>2936</v>
      </c>
      <c r="BN18" s="10">
        <v>-999</v>
      </c>
      <c r="BO18" s="12">
        <v>8486858</v>
      </c>
      <c r="BP18" s="3">
        <v>1581714</v>
      </c>
      <c r="BQ18" s="3">
        <v>46301</v>
      </c>
      <c r="BR18" s="3">
        <v>210715</v>
      </c>
      <c r="BS18" s="3">
        <v>18625</v>
      </c>
      <c r="BT18" s="3">
        <v>29117</v>
      </c>
      <c r="BU18" s="3">
        <v>-999</v>
      </c>
      <c r="BV18" s="3">
        <v>-999</v>
      </c>
      <c r="BW18" s="3">
        <v>-999</v>
      </c>
      <c r="BX18" s="3">
        <v>-999</v>
      </c>
      <c r="BY18" s="3">
        <v>-999</v>
      </c>
      <c r="BZ18" s="3">
        <v>-999</v>
      </c>
      <c r="CA18" s="3">
        <v>6201</v>
      </c>
      <c r="CB18" s="3">
        <v>-999</v>
      </c>
      <c r="CC18" s="10">
        <v>-999</v>
      </c>
      <c r="CD18" s="3">
        <v>2066103</v>
      </c>
      <c r="CE18" s="3">
        <v>159541</v>
      </c>
      <c r="CF18" s="3">
        <v>19732</v>
      </c>
      <c r="CG18" s="3">
        <v>22997</v>
      </c>
      <c r="CH18" s="3">
        <v>19981</v>
      </c>
      <c r="CI18" s="3">
        <v>2972848</v>
      </c>
      <c r="CJ18" s="3">
        <v>77777</v>
      </c>
      <c r="CK18" s="3">
        <v>117669</v>
      </c>
      <c r="CL18" s="3">
        <v>24060</v>
      </c>
      <c r="CM18" s="53">
        <f>P18/(P18+N18)</f>
        <v>0.96234982361248533</v>
      </c>
      <c r="CN18" s="53">
        <f>L18/(L18+N18+P18)</f>
        <v>2.0902271608956476E-3</v>
      </c>
      <c r="CO18" s="2">
        <f t="shared" si="26"/>
        <v>1.3933454254530386</v>
      </c>
      <c r="CP18" s="1">
        <v>2</v>
      </c>
      <c r="CQ18" s="1">
        <v>2.2000000000000002</v>
      </c>
      <c r="CR18" s="1">
        <v>1</v>
      </c>
      <c r="CS18" s="1">
        <v>24.7</v>
      </c>
      <c r="CT18" s="1">
        <v>33.700000000000003</v>
      </c>
      <c r="CU18" s="1">
        <v>2</v>
      </c>
      <c r="CV18" s="1">
        <v>2</v>
      </c>
      <c r="CW18" s="1">
        <v>1</v>
      </c>
      <c r="CX18" s="1">
        <v>0.35667000000000004</v>
      </c>
      <c r="CY18" s="1">
        <v>1</v>
      </c>
      <c r="CZ18" s="1">
        <v>2</v>
      </c>
      <c r="DA18" s="1">
        <v>99</v>
      </c>
      <c r="DB18" s="1">
        <v>0.95230000000000004</v>
      </c>
      <c r="DC18" s="1">
        <v>1</v>
      </c>
      <c r="DD18" s="1">
        <v>0</v>
      </c>
      <c r="DE18" s="1">
        <v>360</v>
      </c>
      <c r="DF18" s="1">
        <f t="shared" si="27"/>
        <v>2.7777777777777776E-2</v>
      </c>
      <c r="DG18" s="92">
        <v>20000</v>
      </c>
      <c r="DH18" s="9">
        <f t="shared" si="15"/>
        <v>0.35667000000000004</v>
      </c>
      <c r="DI18" s="1">
        <f t="shared" si="29"/>
        <v>0.34181284164526105</v>
      </c>
      <c r="DJ18" s="1">
        <v>1</v>
      </c>
      <c r="DK18" s="1">
        <f t="shared" si="28"/>
        <v>1.3933454254530386</v>
      </c>
      <c r="DL18" s="1">
        <f>S18*1166.6</f>
        <v>43.830887361988658</v>
      </c>
      <c r="DM18" s="1">
        <f>T18* 1833.1</f>
        <v>1760.3961264983898</v>
      </c>
      <c r="DN18" s="1">
        <f>CX18-DH18</f>
        <v>0</v>
      </c>
      <c r="DO18" s="1">
        <f t="shared" si="34"/>
        <v>0.44901014106016263</v>
      </c>
      <c r="DP18" s="1">
        <f t="shared" si="30"/>
        <v>4.1655194871278771E-2</v>
      </c>
      <c r="DQ18" s="1">
        <f t="shared" si="31"/>
        <v>4.1655194871278773</v>
      </c>
      <c r="DR18" s="82">
        <f t="shared" si="11"/>
        <v>180.83798283265673</v>
      </c>
      <c r="DS18" s="82">
        <f t="shared" si="32"/>
        <v>1.6304472546478932E-2</v>
      </c>
      <c r="DT18" s="2">
        <f t="shared" si="33"/>
        <v>0.95230000000000004</v>
      </c>
    </row>
    <row r="19" spans="1:124" ht="14" customHeight="1" x14ac:dyDescent="0.35">
      <c r="A19" s="65" t="s">
        <v>28</v>
      </c>
      <c r="B19" s="1">
        <v>2</v>
      </c>
      <c r="C19" s="6">
        <v>42380</v>
      </c>
      <c r="D19" s="7">
        <v>0.53888888888888886</v>
      </c>
      <c r="E19" t="s">
        <v>274</v>
      </c>
      <c r="F19" t="s">
        <v>275</v>
      </c>
      <c r="G19" s="9" t="s">
        <v>71</v>
      </c>
      <c r="H19" s="9" t="s">
        <v>166</v>
      </c>
      <c r="I19" s="9" t="s">
        <v>222</v>
      </c>
      <c r="J19" s="9">
        <v>1</v>
      </c>
      <c r="K19" s="80">
        <v>210.184</v>
      </c>
      <c r="L19" s="80">
        <f t="shared" si="19"/>
        <v>208.28266666666667</v>
      </c>
      <c r="M19" s="81">
        <v>2317.73</v>
      </c>
      <c r="N19" s="81">
        <f t="shared" si="20"/>
        <v>2317.6350000000002</v>
      </c>
      <c r="O19" s="33">
        <v>17707</v>
      </c>
      <c r="P19" s="33">
        <f t="shared" si="21"/>
        <v>17298</v>
      </c>
      <c r="Q19" s="37">
        <f t="shared" si="22"/>
        <v>0.88184756700458578</v>
      </c>
      <c r="R19" s="37">
        <f t="shared" si="23"/>
        <v>1.0506634973413344E-2</v>
      </c>
      <c r="S19" s="38">
        <f t="shared" si="24"/>
        <v>0.11691104851071063</v>
      </c>
      <c r="T19" s="37">
        <f t="shared" si="25"/>
        <v>0.87258231651587592</v>
      </c>
      <c r="U19" s="8">
        <v>157.4</v>
      </c>
      <c r="V19" s="10">
        <v>127937</v>
      </c>
      <c r="W19" s="10">
        <v>6119</v>
      </c>
      <c r="X19" s="3">
        <v>241685</v>
      </c>
      <c r="Y19" s="21">
        <v>2006.9</v>
      </c>
      <c r="Z19" s="18">
        <v>573.70000000000005</v>
      </c>
      <c r="AA19" s="22">
        <v>730.3</v>
      </c>
      <c r="AB19" s="22">
        <v>330145.40000000002</v>
      </c>
      <c r="AC19" s="22">
        <v>14128.9</v>
      </c>
      <c r="AD19" s="22">
        <v>3672.3</v>
      </c>
      <c r="AE19" s="18">
        <v>1224.8</v>
      </c>
      <c r="AF19" s="21">
        <v>772.1</v>
      </c>
      <c r="AG19" s="3">
        <v>11319188</v>
      </c>
      <c r="AH19" s="3">
        <v>80932283</v>
      </c>
      <c r="AI19" s="3">
        <v>102097027</v>
      </c>
      <c r="AJ19" s="3">
        <v>1553401</v>
      </c>
      <c r="AK19" s="3">
        <v>15112151</v>
      </c>
      <c r="AL19" s="3">
        <v>52245</v>
      </c>
      <c r="AM19" s="3">
        <v>172024</v>
      </c>
      <c r="AN19" s="3">
        <v>2376435</v>
      </c>
      <c r="AO19" s="3">
        <v>800053</v>
      </c>
      <c r="AP19" s="3">
        <v>449914</v>
      </c>
      <c r="AQ19" s="3">
        <v>371841</v>
      </c>
      <c r="AR19" s="10">
        <v>14682</v>
      </c>
      <c r="AS19" s="3">
        <v>37547</v>
      </c>
      <c r="AT19" s="3">
        <v>2155229</v>
      </c>
      <c r="AU19" s="3">
        <v>1854399</v>
      </c>
      <c r="AV19" s="3">
        <v>4627693</v>
      </c>
      <c r="AW19" s="3">
        <v>294526</v>
      </c>
      <c r="AX19" s="3">
        <v>151125</v>
      </c>
      <c r="AY19" s="3">
        <v>2059169</v>
      </c>
      <c r="AZ19" s="3">
        <v>457810</v>
      </c>
      <c r="BA19" s="3">
        <v>230295</v>
      </c>
      <c r="BB19" s="3">
        <v>181770</v>
      </c>
      <c r="BC19" s="3">
        <v>18373</v>
      </c>
      <c r="BD19" s="3">
        <v>207611</v>
      </c>
      <c r="BE19" s="3">
        <v>147331</v>
      </c>
      <c r="BF19" s="3">
        <v>185922</v>
      </c>
      <c r="BG19" s="3">
        <v>133601</v>
      </c>
      <c r="BH19" s="3">
        <v>107329</v>
      </c>
      <c r="BI19" s="3">
        <v>91557</v>
      </c>
      <c r="BJ19" s="3">
        <v>178991</v>
      </c>
      <c r="BK19" s="3">
        <v>56069</v>
      </c>
      <c r="BL19" s="3">
        <v>35273</v>
      </c>
      <c r="BM19" s="3">
        <v>15633</v>
      </c>
      <c r="BN19" s="10">
        <v>5615</v>
      </c>
      <c r="BO19" s="12">
        <v>19921382</v>
      </c>
      <c r="BP19" s="3">
        <v>5842191</v>
      </c>
      <c r="BQ19" s="3">
        <v>397444</v>
      </c>
      <c r="BR19" s="3">
        <v>705060</v>
      </c>
      <c r="BS19" s="3">
        <v>129443</v>
      </c>
      <c r="BT19" s="3">
        <v>527034</v>
      </c>
      <c r="BU19" s="3">
        <v>14193</v>
      </c>
      <c r="BV19" s="3">
        <v>7648</v>
      </c>
      <c r="BW19" s="3">
        <v>25167</v>
      </c>
      <c r="BX19" s="3">
        <v>15374</v>
      </c>
      <c r="BY19" s="3">
        <v>12243</v>
      </c>
      <c r="BZ19" s="3">
        <v>4016</v>
      </c>
      <c r="CA19" s="3">
        <v>20488</v>
      </c>
      <c r="CB19" s="3">
        <v>-999</v>
      </c>
      <c r="CC19" s="10">
        <v>-999</v>
      </c>
      <c r="CD19" s="3">
        <v>18546115</v>
      </c>
      <c r="CE19" s="3">
        <v>1953071</v>
      </c>
      <c r="CF19" s="3">
        <v>357431</v>
      </c>
      <c r="CG19" s="3">
        <v>341218</v>
      </c>
      <c r="CH19" s="3">
        <v>648242</v>
      </c>
      <c r="CI19" s="3">
        <v>10720681</v>
      </c>
      <c r="CJ19" s="3">
        <v>213058</v>
      </c>
      <c r="CK19" s="3">
        <v>928044</v>
      </c>
      <c r="CL19" s="3">
        <v>287007</v>
      </c>
      <c r="CM19" s="2">
        <f>P19/(P19+N19)</f>
        <v>0.88184756700458578</v>
      </c>
      <c r="CN19" s="2">
        <f>L19/(L19+N19+P19)</f>
        <v>1.0506634973413344E-2</v>
      </c>
      <c r="CO19" s="2">
        <f t="shared" si="26"/>
        <v>7.0037228732773356</v>
      </c>
      <c r="CP19" s="1">
        <v>2</v>
      </c>
      <c r="CQ19" s="1">
        <v>1.8</v>
      </c>
      <c r="CR19" s="1">
        <v>1</v>
      </c>
      <c r="CS19" s="1">
        <v>18.899999999999999</v>
      </c>
      <c r="CT19" s="1">
        <v>35.299999999999997</v>
      </c>
      <c r="CU19" s="1">
        <v>2</v>
      </c>
      <c r="CV19" s="1">
        <v>2</v>
      </c>
      <c r="CW19" s="1">
        <v>1</v>
      </c>
      <c r="CX19" s="1">
        <v>0.41100000000000003</v>
      </c>
      <c r="CY19" s="1">
        <v>2</v>
      </c>
      <c r="CZ19" s="1">
        <v>1</v>
      </c>
      <c r="DA19" s="1">
        <v>98</v>
      </c>
      <c r="DB19" s="1">
        <v>0.9294</v>
      </c>
      <c r="DC19" s="1">
        <v>1</v>
      </c>
      <c r="DD19" s="1">
        <v>0</v>
      </c>
      <c r="DE19" s="1">
        <v>60</v>
      </c>
      <c r="DF19" s="1">
        <f t="shared" si="27"/>
        <v>0.16666666666666666</v>
      </c>
      <c r="DG19" s="92">
        <v>20000</v>
      </c>
      <c r="DH19" s="9">
        <f t="shared" si="15"/>
        <v>0.41100000000000003</v>
      </c>
      <c r="DI19" s="1">
        <f t="shared" si="29"/>
        <v>0.29298562221812519</v>
      </c>
      <c r="DJ19" s="1">
        <v>1</v>
      </c>
      <c r="DK19" s="1">
        <f t="shared" si="28"/>
        <v>7.0037228732773356</v>
      </c>
      <c r="DL19" s="1">
        <f>S19*1166.6</f>
        <v>136.388429192595</v>
      </c>
      <c r="DM19" s="1">
        <f>T19* 1833.1</f>
        <v>1599.5306444052521</v>
      </c>
      <c r="DN19" s="1">
        <v>0.25</v>
      </c>
      <c r="DO19" s="1">
        <f t="shared" si="34"/>
        <v>1.8689772104864755</v>
      </c>
      <c r="DP19" s="1">
        <f t="shared" si="30"/>
        <v>0.28713960530869798</v>
      </c>
      <c r="DQ19" s="1">
        <f t="shared" si="31"/>
        <v>3.7139605308697958</v>
      </c>
      <c r="DR19" s="82">
        <f t="shared" si="11"/>
        <v>907.66945763175181</v>
      </c>
      <c r="DS19" s="82">
        <f t="shared" si="32"/>
        <v>2.0684784928599653E-2</v>
      </c>
      <c r="DT19" s="2">
        <f t="shared" si="33"/>
        <v>0.92939999999999989</v>
      </c>
    </row>
    <row r="20" spans="1:124" ht="13.5" hidden="1" customHeight="1" x14ac:dyDescent="0.35">
      <c r="A20" s="1" t="s">
        <v>58</v>
      </c>
      <c r="B20" s="27">
        <v>1</v>
      </c>
      <c r="C20" s="28">
        <v>42340</v>
      </c>
      <c r="D20" s="29">
        <v>0.84375</v>
      </c>
      <c r="E20" t="s">
        <v>276</v>
      </c>
      <c r="F20" t="s">
        <v>277</v>
      </c>
      <c r="G20" s="27" t="s">
        <v>71</v>
      </c>
      <c r="H20" s="27" t="s">
        <v>167</v>
      </c>
      <c r="I20" s="56" t="s">
        <v>96</v>
      </c>
      <c r="J20" s="27">
        <v>2</v>
      </c>
      <c r="K20" s="43">
        <v>19.934000000000001</v>
      </c>
      <c r="L20" s="43">
        <f t="shared" si="19"/>
        <v>18.032666666666668</v>
      </c>
      <c r="M20" s="44">
        <v>259.85000000000002</v>
      </c>
      <c r="N20" s="44">
        <f t="shared" si="20"/>
        <v>259.755</v>
      </c>
      <c r="O20" s="45">
        <v>495</v>
      </c>
      <c r="P20" s="45">
        <f t="shared" si="21"/>
        <v>86</v>
      </c>
      <c r="Q20" s="46">
        <f t="shared" si="22"/>
        <v>0.24873103787363884</v>
      </c>
      <c r="R20" s="46">
        <f t="shared" si="23"/>
        <v>4.9569208411866635E-2</v>
      </c>
      <c r="S20" s="47">
        <f t="shared" si="24"/>
        <v>0.71402915436935277</v>
      </c>
      <c r="T20" s="46">
        <f t="shared" si="25"/>
        <v>0.23640163721878055</v>
      </c>
      <c r="U20" s="8">
        <v>41.7</v>
      </c>
      <c r="V20" s="3">
        <v>21999</v>
      </c>
      <c r="W20" s="3">
        <v>877</v>
      </c>
      <c r="X20" s="3">
        <v>156075</v>
      </c>
      <c r="Y20" s="21">
        <v>817.4</v>
      </c>
      <c r="Z20" s="18">
        <v>123.3</v>
      </c>
      <c r="AA20" s="21">
        <v>157.5</v>
      </c>
      <c r="AB20" s="21">
        <v>1606.8</v>
      </c>
      <c r="AC20" s="21">
        <v>-999</v>
      </c>
      <c r="AD20" s="21">
        <v>-999</v>
      </c>
      <c r="AE20" s="18">
        <v>27.5</v>
      </c>
      <c r="AF20" s="21">
        <v>26.2</v>
      </c>
      <c r="AG20" s="3">
        <v>1090622</v>
      </c>
      <c r="AH20" s="3">
        <v>4078085</v>
      </c>
      <c r="AI20" s="3">
        <v>3298581</v>
      </c>
      <c r="AJ20" s="3">
        <v>346602</v>
      </c>
      <c r="AK20" s="3">
        <v>1380020</v>
      </c>
      <c r="AL20" s="3">
        <v>93437</v>
      </c>
      <c r="AM20" s="3">
        <v>181427</v>
      </c>
      <c r="AN20" s="3">
        <v>263125</v>
      </c>
      <c r="AO20" s="3">
        <v>190206</v>
      </c>
      <c r="AP20" s="3">
        <v>76772</v>
      </c>
      <c r="AQ20" s="3">
        <v>53521</v>
      </c>
      <c r="AR20" s="3">
        <v>13459</v>
      </c>
      <c r="AS20" s="3">
        <v>30022</v>
      </c>
      <c r="AT20" s="3">
        <v>343661</v>
      </c>
      <c r="AU20" s="3">
        <v>73239</v>
      </c>
      <c r="AV20" s="3">
        <v>200436</v>
      </c>
      <c r="AW20" s="3">
        <v>15087</v>
      </c>
      <c r="AX20" s="3">
        <v>10546</v>
      </c>
      <c r="AY20" s="3">
        <v>84215</v>
      </c>
      <c r="AZ20" s="3">
        <v>15652</v>
      </c>
      <c r="BA20" s="3">
        <v>13877</v>
      </c>
      <c r="BB20" s="3">
        <v>64199</v>
      </c>
      <c r="BC20" s="3">
        <v>500463</v>
      </c>
      <c r="BD20" s="3">
        <v>22162</v>
      </c>
      <c r="BE20" s="3">
        <v>13428</v>
      </c>
      <c r="BF20" s="3">
        <v>21332</v>
      </c>
      <c r="BG20" s="3">
        <v>38734</v>
      </c>
      <c r="BH20" s="3">
        <v>48523</v>
      </c>
      <c r="BI20" s="3">
        <v>23566</v>
      </c>
      <c r="BJ20" s="3">
        <v>73355</v>
      </c>
      <c r="BK20" s="3">
        <v>32556</v>
      </c>
      <c r="BL20" s="3">
        <v>19135</v>
      </c>
      <c r="BM20" s="3">
        <v>12004</v>
      </c>
      <c r="BN20" s="3">
        <v>2385</v>
      </c>
      <c r="BO20" s="12">
        <v>705140</v>
      </c>
      <c r="BP20" s="3">
        <v>324307</v>
      </c>
      <c r="BQ20" s="3">
        <v>24988</v>
      </c>
      <c r="BR20" s="3">
        <v>104289</v>
      </c>
      <c r="BS20" s="3">
        <v>27577</v>
      </c>
      <c r="BT20" s="3">
        <v>55175</v>
      </c>
      <c r="BU20" s="3">
        <v>1102</v>
      </c>
      <c r="BV20" s="3">
        <v>2086</v>
      </c>
      <c r="BW20" s="3">
        <v>10957</v>
      </c>
      <c r="BX20" s="3">
        <v>6945</v>
      </c>
      <c r="BY20" s="3">
        <v>4802</v>
      </c>
      <c r="BZ20" s="3">
        <v>12021</v>
      </c>
      <c r="CA20" s="3">
        <v>30666</v>
      </c>
      <c r="CB20" s="3">
        <v>19375</v>
      </c>
      <c r="CC20" s="3">
        <v>513</v>
      </c>
      <c r="CD20" s="3">
        <v>1779544</v>
      </c>
      <c r="CE20" s="3">
        <v>235121</v>
      </c>
      <c r="CF20" s="3">
        <v>81137</v>
      </c>
      <c r="CG20" s="3">
        <v>83640</v>
      </c>
      <c r="CH20" s="3">
        <v>61972</v>
      </c>
      <c r="CI20" s="3">
        <v>590118</v>
      </c>
      <c r="CJ20" s="3">
        <v>14581</v>
      </c>
      <c r="CK20" s="3">
        <v>230341</v>
      </c>
      <c r="CL20" s="3">
        <v>85211</v>
      </c>
      <c r="CM20" s="50">
        <f>P20/(P20+N20)</f>
        <v>0.24873103787363884</v>
      </c>
      <c r="CN20" s="50">
        <f>L20/(L20+N20+P20)</f>
        <v>4.9569208411866635E-2</v>
      </c>
      <c r="CO20" s="2">
        <f>CN20*633.3</f>
        <v>31.392179687235139</v>
      </c>
      <c r="CP20" s="50">
        <v>2</v>
      </c>
      <c r="CQ20" s="50">
        <v>1.9</v>
      </c>
      <c r="CR20" s="50">
        <v>1</v>
      </c>
      <c r="CS20" s="50">
        <v>22.9</v>
      </c>
      <c r="CT20" s="50">
        <v>32.700000000000003</v>
      </c>
      <c r="CU20" s="50">
        <v>3</v>
      </c>
      <c r="CV20" s="50">
        <v>7</v>
      </c>
      <c r="CW20" s="50">
        <v>2</v>
      </c>
      <c r="CX20" s="50">
        <v>0.44433</v>
      </c>
      <c r="CY20" s="27">
        <v>1.5</v>
      </c>
      <c r="CZ20" s="27">
        <v>1</v>
      </c>
      <c r="DA20" s="27">
        <v>97</v>
      </c>
      <c r="DB20" s="50">
        <v>0.91900000000000004</v>
      </c>
      <c r="DC20" s="27">
        <v>1</v>
      </c>
      <c r="DD20" s="27">
        <v>0</v>
      </c>
      <c r="DE20" s="27">
        <v>720</v>
      </c>
      <c r="DF20" s="1">
        <f t="shared" ref="DF20:DF24" si="35">1/DE20</f>
        <v>1.3888888888888889E-3</v>
      </c>
      <c r="DG20" s="94">
        <v>20000</v>
      </c>
      <c r="DH20" s="9">
        <f t="shared" si="15"/>
        <v>0.44433</v>
      </c>
      <c r="DI20" s="1">
        <f t="shared" si="29"/>
        <v>0.42602178090410869</v>
      </c>
      <c r="DJ20" s="27">
        <v>0</v>
      </c>
      <c r="DK20" s="54">
        <f>CO20*1.0526</f>
        <v>33.043408338783706</v>
      </c>
      <c r="DL20" s="2">
        <f>S20*1108.3</f>
        <v>791.35851178755365</v>
      </c>
      <c r="DM20" s="2">
        <f>T20* 1741.7</f>
        <v>411.74073154395006</v>
      </c>
      <c r="DN20" s="1">
        <f>CX20-DH20</f>
        <v>0</v>
      </c>
      <c r="DO20" s="1">
        <f>DK20*DI20*DB20*DA20/100</f>
        <v>12.548848796875689</v>
      </c>
      <c r="DP20" s="1">
        <f>DQ20/100+100*(1-(DH20/CX20))+DN20*100</f>
        <v>4.1204103022283702E-2</v>
      </c>
      <c r="DQ20" s="1">
        <f t="shared" si="31"/>
        <v>4.12041030222837</v>
      </c>
      <c r="DR20" s="82">
        <f t="shared" si="11"/>
        <v>10.87538935141322</v>
      </c>
      <c r="DS20" s="82">
        <f t="shared" si="32"/>
        <v>3.4507764253232764E-2</v>
      </c>
      <c r="DT20" s="2">
        <f t="shared" si="33"/>
        <v>0.91900000000000004</v>
      </c>
    </row>
    <row r="21" spans="1:124" ht="12" customHeight="1" x14ac:dyDescent="0.35">
      <c r="A21" s="65" t="s">
        <v>37</v>
      </c>
      <c r="B21" s="1">
        <v>2</v>
      </c>
      <c r="C21" s="6">
        <v>42379</v>
      </c>
      <c r="D21" s="7">
        <v>0.54166666666666663</v>
      </c>
      <c r="E21" t="s">
        <v>276</v>
      </c>
      <c r="F21" t="s">
        <v>277</v>
      </c>
      <c r="G21" s="9" t="s">
        <v>71</v>
      </c>
      <c r="H21" s="9" t="s">
        <v>167</v>
      </c>
      <c r="I21" s="9" t="s">
        <v>75</v>
      </c>
      <c r="J21" s="9">
        <v>1</v>
      </c>
      <c r="K21" s="80">
        <v>109.65</v>
      </c>
      <c r="L21" s="80">
        <f t="shared" si="19"/>
        <v>107.74866666666668</v>
      </c>
      <c r="M21" s="81">
        <v>1649.59</v>
      </c>
      <c r="N21" s="81">
        <f t="shared" si="20"/>
        <v>1649.4949999999999</v>
      </c>
      <c r="O21" s="33">
        <v>15529</v>
      </c>
      <c r="P21" s="33">
        <f t="shared" si="21"/>
        <v>15120</v>
      </c>
      <c r="Q21" s="37">
        <f t="shared" si="22"/>
        <v>0.90163716915744929</v>
      </c>
      <c r="R21" s="37">
        <f t="shared" si="23"/>
        <v>6.3842573345951779E-3</v>
      </c>
      <c r="S21" s="38">
        <f t="shared" si="24"/>
        <v>9.7734857218292615E-2</v>
      </c>
      <c r="T21" s="37">
        <f t="shared" si="25"/>
        <v>0.89588088544711231</v>
      </c>
      <c r="U21" s="8">
        <v>-999</v>
      </c>
      <c r="V21" s="10">
        <v>239426</v>
      </c>
      <c r="W21" s="10">
        <v>8621</v>
      </c>
      <c r="X21" s="3">
        <v>865643</v>
      </c>
      <c r="Y21" s="21">
        <v>9695</v>
      </c>
      <c r="Z21" s="18">
        <v>13962.8</v>
      </c>
      <c r="AA21" s="22">
        <v>1759.1</v>
      </c>
      <c r="AB21" s="22">
        <v>1419514.8</v>
      </c>
      <c r="AC21" s="22">
        <v>60278.1</v>
      </c>
      <c r="AD21" s="22">
        <v>14423.3</v>
      </c>
      <c r="AE21" s="18">
        <v>3722</v>
      </c>
      <c r="AF21" s="21">
        <v>2057.3000000000002</v>
      </c>
      <c r="AG21" s="3">
        <v>5739726</v>
      </c>
      <c r="AH21" s="3">
        <v>55172145</v>
      </c>
      <c r="AI21" s="3">
        <v>58099351</v>
      </c>
      <c r="AJ21" s="3">
        <v>1035084</v>
      </c>
      <c r="AK21" s="3">
        <v>10268334</v>
      </c>
      <c r="AL21" s="3">
        <v>60486</v>
      </c>
      <c r="AM21" s="3">
        <v>167512</v>
      </c>
      <c r="AN21" s="3">
        <v>1582788</v>
      </c>
      <c r="AO21" s="3">
        <v>637854</v>
      </c>
      <c r="AP21" s="3">
        <v>276751</v>
      </c>
      <c r="AQ21" s="3">
        <v>220068</v>
      </c>
      <c r="AR21" s="10">
        <v>15661</v>
      </c>
      <c r="AS21" s="3">
        <v>44229</v>
      </c>
      <c r="AT21" s="3">
        <v>-999</v>
      </c>
      <c r="AU21" s="3">
        <v>610833</v>
      </c>
      <c r="AV21" s="3">
        <v>1776476</v>
      </c>
      <c r="AW21" s="3">
        <v>95060</v>
      </c>
      <c r="AX21" s="3">
        <v>53915</v>
      </c>
      <c r="AY21" s="3">
        <v>359737</v>
      </c>
      <c r="AZ21" s="3">
        <v>212378</v>
      </c>
      <c r="BA21" s="3">
        <v>48872</v>
      </c>
      <c r="BB21" s="3">
        <v>254755</v>
      </c>
      <c r="BC21" s="10">
        <v>25060</v>
      </c>
      <c r="BD21" s="3">
        <v>132333</v>
      </c>
      <c r="BE21" s="3">
        <v>81434</v>
      </c>
      <c r="BF21" s="3">
        <v>134502</v>
      </c>
      <c r="BG21" s="3">
        <v>80887</v>
      </c>
      <c r="BH21" s="3">
        <v>44106</v>
      </c>
      <c r="BI21" s="3">
        <v>83836</v>
      </c>
      <c r="BJ21" s="3">
        <v>328823</v>
      </c>
      <c r="BK21" s="3">
        <v>132919</v>
      </c>
      <c r="BL21" s="3">
        <v>68589</v>
      </c>
      <c r="BM21" s="3">
        <v>26432</v>
      </c>
      <c r="BN21" s="10">
        <v>6974</v>
      </c>
      <c r="BO21" s="12">
        <v>9811803</v>
      </c>
      <c r="BP21" s="3">
        <v>2597321</v>
      </c>
      <c r="BQ21" s="3">
        <v>158694</v>
      </c>
      <c r="BR21" s="3">
        <v>385633</v>
      </c>
      <c r="BS21" s="3">
        <v>101122</v>
      </c>
      <c r="BT21" s="3">
        <v>-999</v>
      </c>
      <c r="BU21" s="3">
        <v>11849</v>
      </c>
      <c r="BV21" s="3">
        <v>10772</v>
      </c>
      <c r="BW21" s="3">
        <v>13687</v>
      </c>
      <c r="BX21" s="3">
        <v>6866</v>
      </c>
      <c r="BY21" s="3">
        <v>15349</v>
      </c>
      <c r="BZ21" s="3">
        <v>2427</v>
      </c>
      <c r="CA21" s="3">
        <v>35572</v>
      </c>
      <c r="CB21" s="3">
        <v>-999</v>
      </c>
      <c r="CC21" s="10">
        <v>-999</v>
      </c>
      <c r="CD21" s="3">
        <v>14584230</v>
      </c>
      <c r="CE21" s="3">
        <v>1896946</v>
      </c>
      <c r="CF21" s="3">
        <v>387492</v>
      </c>
      <c r="CG21" s="3">
        <v>264125</v>
      </c>
      <c r="CH21" s="3">
        <v>402465</v>
      </c>
      <c r="CI21" s="3">
        <v>15622264</v>
      </c>
      <c r="CJ21" s="3">
        <v>117955</v>
      </c>
      <c r="CK21" s="3">
        <v>969095</v>
      </c>
      <c r="CL21" s="3">
        <v>294503</v>
      </c>
      <c r="CM21" s="2">
        <f>P21/(P21+N21)</f>
        <v>0.90163716915744929</v>
      </c>
      <c r="CN21" s="2">
        <f>L21/(L21+N21+P21)</f>
        <v>6.3842573345951779E-3</v>
      </c>
      <c r="CO21" s="2">
        <f>CN21*666.6</f>
        <v>4.2557459392411454</v>
      </c>
      <c r="CP21" s="1">
        <v>2</v>
      </c>
      <c r="CQ21" s="1">
        <v>1.9</v>
      </c>
      <c r="CR21" s="1">
        <v>1</v>
      </c>
      <c r="CS21" s="1">
        <v>22.9</v>
      </c>
      <c r="CT21" s="52">
        <v>32.700000000000003</v>
      </c>
      <c r="CU21" s="1">
        <v>3</v>
      </c>
      <c r="CV21" s="1">
        <v>7</v>
      </c>
      <c r="CW21" s="1">
        <v>2</v>
      </c>
      <c r="CX21" s="1">
        <v>0.44433</v>
      </c>
      <c r="CY21" s="1">
        <v>1.5</v>
      </c>
      <c r="CZ21" s="1">
        <v>1</v>
      </c>
      <c r="DA21" s="1">
        <v>97</v>
      </c>
      <c r="DB21" s="1">
        <v>0.91900000000000004</v>
      </c>
      <c r="DC21" s="1">
        <v>1</v>
      </c>
      <c r="DD21" s="1">
        <v>0</v>
      </c>
      <c r="DE21" s="1">
        <v>720</v>
      </c>
      <c r="DF21" s="1">
        <f>10/DE21</f>
        <v>1.3888888888888888E-2</v>
      </c>
      <c r="DG21" s="92">
        <v>20000</v>
      </c>
      <c r="DH21" s="9">
        <f t="shared" si="15"/>
        <v>0.44433</v>
      </c>
      <c r="DI21" s="1">
        <f t="shared" si="29"/>
        <v>0.42602178090410869</v>
      </c>
      <c r="DJ21" s="1">
        <v>1</v>
      </c>
      <c r="DK21" s="1">
        <f>CO21</f>
        <v>4.2557459392411454</v>
      </c>
      <c r="DL21" s="1">
        <f>S21*1166.6</f>
        <v>114.01748443086015</v>
      </c>
      <c r="DM21" s="1">
        <f>T21* 1833.1</f>
        <v>1642.2392511131015</v>
      </c>
      <c r="DN21" s="1">
        <f>CX21-DH21</f>
        <v>0</v>
      </c>
      <c r="DO21" s="1">
        <f>DK21*DI21*DT21*DA21/100</f>
        <v>1.6161986609224166</v>
      </c>
      <c r="DP21" s="1">
        <f>DQ21/100+(1-(DH21/CX21))+DN21</f>
        <v>4.1204103022283702E-2</v>
      </c>
      <c r="DQ21" s="1">
        <f t="shared" si="31"/>
        <v>4.12041030222837</v>
      </c>
      <c r="DR21" s="82">
        <f t="shared" si="11"/>
        <v>108.75389351413219</v>
      </c>
      <c r="DS21" s="82">
        <f t="shared" si="32"/>
        <v>3.4507764253232764E-2</v>
      </c>
      <c r="DT21" s="2">
        <f t="shared" si="33"/>
        <v>0.91900000000000004</v>
      </c>
    </row>
    <row r="22" spans="1:124" ht="12" hidden="1" customHeight="1" x14ac:dyDescent="0.35">
      <c r="A22" s="1" t="s">
        <v>32</v>
      </c>
      <c r="B22" s="27">
        <v>1</v>
      </c>
      <c r="C22" s="28">
        <v>42340</v>
      </c>
      <c r="D22" s="29">
        <v>0.52083333333333337</v>
      </c>
      <c r="E22" t="s">
        <v>278</v>
      </c>
      <c r="F22" t="s">
        <v>277</v>
      </c>
      <c r="G22" s="27" t="s">
        <v>71</v>
      </c>
      <c r="H22" s="27" t="s">
        <v>168</v>
      </c>
      <c r="I22" s="27" t="s">
        <v>90</v>
      </c>
      <c r="J22" s="27">
        <v>2</v>
      </c>
      <c r="K22" s="43">
        <v>40.729999999999997</v>
      </c>
      <c r="L22" s="43">
        <f t="shared" si="19"/>
        <v>38.828666666666663</v>
      </c>
      <c r="M22" s="44">
        <v>860.32</v>
      </c>
      <c r="N22" s="44">
        <f t="shared" si="20"/>
        <v>860.22500000000002</v>
      </c>
      <c r="O22" s="45">
        <v>956</v>
      </c>
      <c r="P22" s="45">
        <f t="shared" si="21"/>
        <v>547</v>
      </c>
      <c r="Q22" s="46">
        <f t="shared" si="22"/>
        <v>0.38870827337490454</v>
      </c>
      <c r="R22" s="46">
        <f t="shared" si="23"/>
        <v>2.6851470012293224E-2</v>
      </c>
      <c r="S22" s="47">
        <f t="shared" si="24"/>
        <v>0.59487764515885877</v>
      </c>
      <c r="T22" s="46">
        <f t="shared" si="25"/>
        <v>0.37827088482884796</v>
      </c>
      <c r="U22" s="8">
        <v>103.6</v>
      </c>
      <c r="V22" s="3">
        <v>277771</v>
      </c>
      <c r="W22" s="3">
        <v>-999</v>
      </c>
      <c r="X22" s="3">
        <v>652566</v>
      </c>
      <c r="Y22" s="21">
        <v>12372.5</v>
      </c>
      <c r="Z22" s="18">
        <v>4251.3</v>
      </c>
      <c r="AA22" s="21">
        <v>6548.2</v>
      </c>
      <c r="AB22" s="21">
        <v>1603272.2</v>
      </c>
      <c r="AC22" s="21">
        <v>409063.4</v>
      </c>
      <c r="AD22" s="21">
        <v>34849.5</v>
      </c>
      <c r="AE22" s="18">
        <v>10392.9</v>
      </c>
      <c r="AF22" s="21">
        <v>7423.2</v>
      </c>
      <c r="AG22" s="3">
        <v>3332721</v>
      </c>
      <c r="AH22" s="3">
        <v>19524665</v>
      </c>
      <c r="AI22" s="3">
        <v>24519713</v>
      </c>
      <c r="AJ22" s="3">
        <v>681846</v>
      </c>
      <c r="AK22" s="3">
        <v>4745380</v>
      </c>
      <c r="AL22" s="3">
        <v>49717</v>
      </c>
      <c r="AM22" s="3">
        <v>143561</v>
      </c>
      <c r="AN22" s="3">
        <v>813920</v>
      </c>
      <c r="AO22" s="3">
        <v>353227</v>
      </c>
      <c r="AP22" s="3">
        <v>208287</v>
      </c>
      <c r="AQ22" s="3">
        <v>147896</v>
      </c>
      <c r="AR22" s="3">
        <v>17894</v>
      </c>
      <c r="AS22" s="3">
        <v>45115</v>
      </c>
      <c r="AT22" s="3">
        <v>14720</v>
      </c>
      <c r="AU22" s="3">
        <v>399380</v>
      </c>
      <c r="AV22" s="3">
        <v>1048314</v>
      </c>
      <c r="AW22" s="3">
        <v>60173</v>
      </c>
      <c r="AX22" s="3">
        <v>36759</v>
      </c>
      <c r="AY22" s="3">
        <v>412842</v>
      </c>
      <c r="AZ22" s="3">
        <v>135207</v>
      </c>
      <c r="BA22" s="3">
        <v>15641</v>
      </c>
      <c r="BB22" s="3">
        <v>143519</v>
      </c>
      <c r="BC22" s="3">
        <v>7207</v>
      </c>
      <c r="BD22" s="3">
        <v>62640</v>
      </c>
      <c r="BE22" s="3">
        <v>37893</v>
      </c>
      <c r="BF22" s="3">
        <v>58231</v>
      </c>
      <c r="BG22" s="3">
        <v>32165</v>
      </c>
      <c r="BH22" s="3">
        <v>45970</v>
      </c>
      <c r="BI22" s="3">
        <v>20472</v>
      </c>
      <c r="BJ22" s="3">
        <v>388597</v>
      </c>
      <c r="BK22" s="3">
        <v>81426</v>
      </c>
      <c r="BL22" s="3">
        <v>48888</v>
      </c>
      <c r="BM22" s="3">
        <v>20811</v>
      </c>
      <c r="BN22" s="3">
        <v>4061</v>
      </c>
      <c r="BO22" s="12">
        <v>5503664</v>
      </c>
      <c r="BP22" s="3">
        <v>1230461</v>
      </c>
      <c r="BQ22" s="3">
        <v>105110</v>
      </c>
      <c r="BR22" s="3">
        <v>298575</v>
      </c>
      <c r="BS22" s="3">
        <v>84680</v>
      </c>
      <c r="BT22" s="3">
        <v>-999</v>
      </c>
      <c r="BU22" s="3">
        <v>5612</v>
      </c>
      <c r="BV22" s="3">
        <v>7961</v>
      </c>
      <c r="BW22" s="3">
        <v>20319</v>
      </c>
      <c r="BX22" s="3">
        <v>8393</v>
      </c>
      <c r="BY22" s="3">
        <v>8607</v>
      </c>
      <c r="BZ22" s="3">
        <v>7065</v>
      </c>
      <c r="CA22" s="3">
        <v>52309</v>
      </c>
      <c r="CB22" s="3">
        <v>15190</v>
      </c>
      <c r="CC22" s="3">
        <v>-999</v>
      </c>
      <c r="CD22" s="3">
        <v>11854871</v>
      </c>
      <c r="CE22" s="3">
        <v>900700</v>
      </c>
      <c r="CF22" s="3">
        <v>264532</v>
      </c>
      <c r="CG22" s="3">
        <v>274774</v>
      </c>
      <c r="CH22" s="3">
        <v>226243</v>
      </c>
      <c r="CI22" s="3">
        <v>8888888</v>
      </c>
      <c r="CJ22" s="3">
        <v>99999</v>
      </c>
      <c r="CK22" s="3">
        <v>22081</v>
      </c>
      <c r="CL22" s="3">
        <v>24105</v>
      </c>
      <c r="CM22" s="50">
        <f>P22/(P22+N22)</f>
        <v>0.38870827337490454</v>
      </c>
      <c r="CN22" s="50">
        <f>L22/(L22+N22+P22)</f>
        <v>2.6851470012293224E-2</v>
      </c>
      <c r="CO22" s="2">
        <f>CN22*633.3</f>
        <v>17.005035958785296</v>
      </c>
      <c r="CP22" s="50">
        <v>1</v>
      </c>
      <c r="CQ22" s="50">
        <v>1.7</v>
      </c>
      <c r="CR22" s="50">
        <v>1</v>
      </c>
      <c r="CS22" s="50">
        <v>33.5</v>
      </c>
      <c r="CT22" s="50">
        <v>22.1</v>
      </c>
      <c r="CU22" s="50">
        <v>2</v>
      </c>
      <c r="CV22" s="50">
        <v>2</v>
      </c>
      <c r="CW22" s="50">
        <v>1</v>
      </c>
      <c r="CX22" s="50">
        <v>0.40267000000000003</v>
      </c>
      <c r="CY22" s="27">
        <v>1</v>
      </c>
      <c r="CZ22" s="27">
        <v>2</v>
      </c>
      <c r="DA22" s="27">
        <v>65</v>
      </c>
      <c r="DB22" s="50">
        <v>0.89150000000000007</v>
      </c>
      <c r="DC22" s="27">
        <v>1</v>
      </c>
      <c r="DD22" s="27">
        <v>1</v>
      </c>
      <c r="DE22" s="27">
        <v>960</v>
      </c>
      <c r="DF22" s="1">
        <f t="shared" si="35"/>
        <v>1.0416666666666667E-3</v>
      </c>
      <c r="DG22" s="94">
        <v>20000</v>
      </c>
      <c r="DH22" s="9">
        <f t="shared" si="15"/>
        <v>0.40267000000000003</v>
      </c>
      <c r="DI22" s="1">
        <f t="shared" si="29"/>
        <v>0.37955000242980069</v>
      </c>
      <c r="DJ22" s="27">
        <v>0</v>
      </c>
      <c r="DK22" s="54">
        <f>CO22*1.0526</f>
        <v>17.899500850217404</v>
      </c>
      <c r="DL22" s="2">
        <f>S22*1108.3</f>
        <v>659.30289412956313</v>
      </c>
      <c r="DM22" s="2">
        <f>T22* 1741.7</f>
        <v>658.83440010640447</v>
      </c>
      <c r="DN22" s="1">
        <f>CX22-DH22</f>
        <v>0</v>
      </c>
      <c r="DO22" s="1">
        <f>DK22*DI22*DB22*DA22/100</f>
        <v>3.9368115212061214</v>
      </c>
      <c r="DP22" s="1">
        <f>DQ22/100+100*(1-(DH22/CX22))+DN22*100</f>
        <v>5.741673720465721E-2</v>
      </c>
      <c r="DQ22" s="1">
        <f t="shared" si="31"/>
        <v>5.7416737204657213</v>
      </c>
      <c r="DR22" s="82">
        <f t="shared" si="11"/>
        <v>7.0493505659618192</v>
      </c>
      <c r="DS22" s="82">
        <f t="shared" si="32"/>
        <v>4.1181175263633352E-2</v>
      </c>
      <c r="DT22" s="2">
        <f t="shared" si="33"/>
        <v>0.89150000000000007</v>
      </c>
    </row>
    <row r="23" spans="1:124" ht="16.5" x14ac:dyDescent="0.35">
      <c r="A23" s="65" t="s">
        <v>57</v>
      </c>
      <c r="B23" s="1">
        <v>2</v>
      </c>
      <c r="C23" s="6">
        <v>42380</v>
      </c>
      <c r="D23" s="17">
        <v>0.60416666666666663</v>
      </c>
      <c r="E23" s="98" t="s">
        <v>326</v>
      </c>
      <c r="F23" s="98" t="s">
        <v>327</v>
      </c>
      <c r="G23" s="9" t="s">
        <v>71</v>
      </c>
      <c r="H23" s="9" t="s">
        <v>171</v>
      </c>
      <c r="I23" s="9" t="s">
        <v>79</v>
      </c>
      <c r="J23" s="9">
        <v>2</v>
      </c>
      <c r="K23" s="80">
        <v>100.083</v>
      </c>
      <c r="L23" s="80">
        <f t="shared" si="19"/>
        <v>98.181666666666672</v>
      </c>
      <c r="M23" s="81">
        <v>1885.78</v>
      </c>
      <c r="N23" s="81">
        <f t="shared" si="20"/>
        <v>1885.6849999999999</v>
      </c>
      <c r="O23" s="33">
        <v>16512</v>
      </c>
      <c r="P23" s="33">
        <f t="shared" si="21"/>
        <v>16103</v>
      </c>
      <c r="Q23" s="37">
        <f t="shared" si="22"/>
        <v>0.89517382732534356</v>
      </c>
      <c r="R23" s="37">
        <f t="shared" si="23"/>
        <v>5.4283402689981322E-3</v>
      </c>
      <c r="S23" s="38">
        <f t="shared" si="24"/>
        <v>0.10425714054028154</v>
      </c>
      <c r="T23" s="37">
        <f t="shared" si="25"/>
        <v>0.89031451919072024</v>
      </c>
      <c r="U23" s="8">
        <v>18.7</v>
      </c>
      <c r="V23" s="10">
        <v>135238</v>
      </c>
      <c r="W23" s="10">
        <v>10395</v>
      </c>
      <c r="X23" s="3">
        <v>598692</v>
      </c>
      <c r="Y23" s="21">
        <v>4625.5</v>
      </c>
      <c r="Z23" s="18">
        <v>2118.9</v>
      </c>
      <c r="AA23" s="22">
        <v>994.9</v>
      </c>
      <c r="AB23" s="22">
        <v>345024.7</v>
      </c>
      <c r="AC23" s="22">
        <v>14752.4</v>
      </c>
      <c r="AD23" s="22">
        <v>6482.6</v>
      </c>
      <c r="AE23" s="18">
        <v>1633.8</v>
      </c>
      <c r="AF23" s="21">
        <v>1773.5</v>
      </c>
      <c r="AG23" s="3">
        <v>7597338</v>
      </c>
      <c r="AH23" s="3">
        <v>38047470</v>
      </c>
      <c r="AI23" s="3">
        <v>21627658</v>
      </c>
      <c r="AJ23" s="3">
        <v>1632267</v>
      </c>
      <c r="AK23" s="3">
        <v>11295956</v>
      </c>
      <c r="AL23" s="3">
        <v>93542</v>
      </c>
      <c r="AM23" s="3">
        <v>289597</v>
      </c>
      <c r="AN23" s="3">
        <v>1894789</v>
      </c>
      <c r="AO23" s="3">
        <v>1141780</v>
      </c>
      <c r="AP23" s="3">
        <v>403603</v>
      </c>
      <c r="AQ23" s="3">
        <v>353557</v>
      </c>
      <c r="AR23" s="10">
        <v>28352</v>
      </c>
      <c r="AS23" s="3">
        <v>75250</v>
      </c>
      <c r="AT23" s="3">
        <v>591576</v>
      </c>
      <c r="AU23" s="3">
        <v>561369</v>
      </c>
      <c r="AV23" s="3">
        <v>1513942</v>
      </c>
      <c r="AW23" s="3">
        <v>119914</v>
      </c>
      <c r="AX23" s="3">
        <v>73331</v>
      </c>
      <c r="AY23" s="3">
        <v>412205</v>
      </c>
      <c r="AZ23" s="3">
        <v>70799</v>
      </c>
      <c r="BA23" s="3">
        <v>89882</v>
      </c>
      <c r="BB23" s="3">
        <v>355628</v>
      </c>
      <c r="BC23" s="10">
        <v>32651</v>
      </c>
      <c r="BD23" s="3">
        <v>157259</v>
      </c>
      <c r="BE23" s="3">
        <v>100102</v>
      </c>
      <c r="BF23" s="3">
        <v>176179</v>
      </c>
      <c r="BG23" s="3">
        <v>180204</v>
      </c>
      <c r="BH23" s="3">
        <v>186045</v>
      </c>
      <c r="BI23" s="3">
        <v>102619</v>
      </c>
      <c r="BJ23" s="3">
        <v>372914</v>
      </c>
      <c r="BK23" s="3">
        <v>150501</v>
      </c>
      <c r="BL23" s="3">
        <v>82765</v>
      </c>
      <c r="BM23" s="3">
        <v>39958</v>
      </c>
      <c r="BN23" s="10">
        <v>14366</v>
      </c>
      <c r="BO23" s="12">
        <v>6028886</v>
      </c>
      <c r="BP23" s="3">
        <v>3018261</v>
      </c>
      <c r="BQ23" s="3">
        <v>184733</v>
      </c>
      <c r="BR23" s="3">
        <v>442562</v>
      </c>
      <c r="BS23" s="3">
        <v>141093</v>
      </c>
      <c r="BT23" s="3">
        <v>127530</v>
      </c>
      <c r="BU23" s="3">
        <v>12147</v>
      </c>
      <c r="BV23" s="3">
        <v>11161</v>
      </c>
      <c r="BW23" s="3">
        <v>33819</v>
      </c>
      <c r="BX23" s="3">
        <v>21111</v>
      </c>
      <c r="BY23" s="3">
        <v>19523</v>
      </c>
      <c r="BZ23" s="3">
        <v>11349</v>
      </c>
      <c r="CA23" s="3">
        <v>42504</v>
      </c>
      <c r="CB23" s="3">
        <v>16011</v>
      </c>
      <c r="CC23" s="10">
        <v>2274</v>
      </c>
      <c r="CD23" s="3">
        <v>12918667</v>
      </c>
      <c r="CE23" s="3">
        <v>2039416</v>
      </c>
      <c r="CF23" s="3">
        <v>485680</v>
      </c>
      <c r="CG23" s="3">
        <v>466400</v>
      </c>
      <c r="CH23" s="3">
        <v>526987</v>
      </c>
      <c r="CI23" s="3">
        <v>13557150</v>
      </c>
      <c r="CJ23" s="3">
        <v>76550</v>
      </c>
      <c r="CK23" s="3">
        <v>1309153</v>
      </c>
      <c r="CL23" s="3">
        <v>443849</v>
      </c>
      <c r="CM23" s="2">
        <f>P23/(P23+N23)</f>
        <v>0.89517382732534356</v>
      </c>
      <c r="CN23" s="2">
        <f>L23/(L23+N23+P23)</f>
        <v>5.4283402689981322E-3</v>
      </c>
      <c r="CO23" s="2">
        <f>CN23*666.6</f>
        <v>3.6185316233141549</v>
      </c>
      <c r="CP23" s="1">
        <v>2</v>
      </c>
      <c r="CQ23" s="1">
        <v>2.1</v>
      </c>
      <c r="CR23" s="1">
        <v>0.85</v>
      </c>
      <c r="CS23" s="1">
        <v>18</v>
      </c>
      <c r="CT23" s="1">
        <v>35.200000000000003</v>
      </c>
      <c r="CU23" s="1">
        <v>2</v>
      </c>
      <c r="CV23" s="1">
        <v>9</v>
      </c>
      <c r="CW23" s="1">
        <v>2</v>
      </c>
      <c r="CX23" s="1">
        <v>0.50967000000000007</v>
      </c>
      <c r="CY23" s="1">
        <v>0.75</v>
      </c>
      <c r="CZ23" s="1">
        <v>2</v>
      </c>
      <c r="DA23" s="1">
        <v>92</v>
      </c>
      <c r="DB23" s="1">
        <v>0.77500000000000002</v>
      </c>
      <c r="DC23" s="1">
        <v>1</v>
      </c>
      <c r="DD23" s="1">
        <v>0</v>
      </c>
      <c r="DE23" s="1">
        <v>1260</v>
      </c>
      <c r="DF23" s="1">
        <f>10/DE23</f>
        <v>7.9365079365079361E-3</v>
      </c>
      <c r="DG23" s="92">
        <v>20000</v>
      </c>
      <c r="DH23" s="9">
        <f t="shared" si="15"/>
        <v>0.50967000000000007</v>
      </c>
      <c r="DI23" s="1">
        <f t="shared" si="29"/>
        <v>0.36354590255048058</v>
      </c>
      <c r="DJ23" s="1">
        <v>1</v>
      </c>
      <c r="DK23" s="1">
        <f>CO23</f>
        <v>3.6185316233141549</v>
      </c>
      <c r="DL23" s="1">
        <f>S23*1166.6</f>
        <v>121.62638015429243</v>
      </c>
      <c r="DM23" s="1">
        <f>T23* 1833.1</f>
        <v>1632.0355451285093</v>
      </c>
      <c r="DN23" s="1">
        <v>0.25</v>
      </c>
      <c r="DO23" s="1">
        <f>DK23*DI23*DT23*DA23/100</f>
        <v>0.93795317191740779</v>
      </c>
      <c r="DP23" s="1">
        <f>DQ23/100+(1-(DH23/CX23))+DN23</f>
        <v>0.28670335207000502</v>
      </c>
      <c r="DQ23" s="1">
        <f t="shared" si="31"/>
        <v>3.6703352070005018</v>
      </c>
      <c r="DR23" s="82">
        <f t="shared" si="11"/>
        <v>44.721916583590861</v>
      </c>
      <c r="DS23" s="82">
        <f t="shared" si="32"/>
        <v>8.1797828073858103E-2</v>
      </c>
      <c r="DT23" s="2">
        <f t="shared" si="33"/>
        <v>0.77500000000000002</v>
      </c>
    </row>
    <row r="24" spans="1:124" ht="15" hidden="1" customHeight="1" x14ac:dyDescent="0.35">
      <c r="A24" s="1" t="s">
        <v>29</v>
      </c>
      <c r="B24" s="27">
        <v>1</v>
      </c>
      <c r="C24" s="28">
        <v>42340</v>
      </c>
      <c r="D24" s="29">
        <v>0.66666666666666663</v>
      </c>
      <c r="E24" t="s">
        <v>279</v>
      </c>
      <c r="F24" t="s">
        <v>271</v>
      </c>
      <c r="G24" s="27" t="s">
        <v>71</v>
      </c>
      <c r="H24" s="27" t="s">
        <v>170</v>
      </c>
      <c r="I24" s="27" t="s">
        <v>89</v>
      </c>
      <c r="J24" s="27">
        <v>1</v>
      </c>
      <c r="K24" s="43">
        <v>14.634</v>
      </c>
      <c r="L24" s="43">
        <f t="shared" si="19"/>
        <v>12.732666666666667</v>
      </c>
      <c r="M24" s="44">
        <v>93.2</v>
      </c>
      <c r="N24" s="44">
        <f t="shared" si="20"/>
        <v>93.105000000000004</v>
      </c>
      <c r="O24" s="45">
        <v>433</v>
      </c>
      <c r="P24" s="45">
        <f t="shared" si="21"/>
        <v>24</v>
      </c>
      <c r="Q24" s="46">
        <f t="shared" si="22"/>
        <v>0.20494428077366467</v>
      </c>
      <c r="R24" s="46">
        <f t="shared" si="23"/>
        <v>9.8066046576109137E-2</v>
      </c>
      <c r="S24" s="47">
        <f t="shared" si="24"/>
        <v>0.71708774803408359</v>
      </c>
      <c r="T24" s="46">
        <f t="shared" si="25"/>
        <v>0.18484620538980726</v>
      </c>
      <c r="U24" s="8">
        <v>8.8000000000000007</v>
      </c>
      <c r="V24" s="3">
        <v>39822</v>
      </c>
      <c r="W24" s="3">
        <v>-999</v>
      </c>
      <c r="X24" s="3">
        <v>235351</v>
      </c>
      <c r="Y24" s="21">
        <v>1131.7</v>
      </c>
      <c r="Z24" s="18">
        <v>172</v>
      </c>
      <c r="AA24" s="21">
        <v>1114</v>
      </c>
      <c r="AB24" s="21">
        <v>90512.5</v>
      </c>
      <c r="AC24" s="21">
        <v>4713.5</v>
      </c>
      <c r="AD24" s="21">
        <v>5933.1</v>
      </c>
      <c r="AE24" s="18">
        <v>8085.1</v>
      </c>
      <c r="AF24" s="21">
        <v>1059.8</v>
      </c>
      <c r="AG24" s="3">
        <v>722599</v>
      </c>
      <c r="AH24" s="3">
        <v>7382718</v>
      </c>
      <c r="AI24" s="3">
        <v>11311483</v>
      </c>
      <c r="AJ24" s="3">
        <v>96339</v>
      </c>
      <c r="AK24" s="3">
        <v>1106330</v>
      </c>
      <c r="AL24" s="3">
        <v>9659</v>
      </c>
      <c r="AM24" s="3">
        <v>21626</v>
      </c>
      <c r="AN24" s="3">
        <v>190772</v>
      </c>
      <c r="AO24" s="3">
        <v>206079</v>
      </c>
      <c r="AP24" s="3">
        <v>25288</v>
      </c>
      <c r="AQ24" s="3">
        <v>14261</v>
      </c>
      <c r="AR24" s="3">
        <v>3013</v>
      </c>
      <c r="AS24" s="3">
        <v>3405</v>
      </c>
      <c r="AT24" s="3">
        <v>10473</v>
      </c>
      <c r="AU24" s="3">
        <v>150649</v>
      </c>
      <c r="AV24" s="3">
        <v>355386</v>
      </c>
      <c r="AW24" s="3">
        <v>18746</v>
      </c>
      <c r="AX24" s="3">
        <v>9034</v>
      </c>
      <c r="AY24" s="3">
        <v>173899</v>
      </c>
      <c r="AZ24" s="3">
        <v>81873</v>
      </c>
      <c r="BA24" s="3">
        <v>9320</v>
      </c>
      <c r="BB24" s="3">
        <v>35486</v>
      </c>
      <c r="BC24" s="3">
        <v>1126</v>
      </c>
      <c r="BD24" s="3">
        <v>10503</v>
      </c>
      <c r="BE24" s="3">
        <v>5554</v>
      </c>
      <c r="BF24" s="3">
        <v>9068</v>
      </c>
      <c r="BG24" s="3">
        <v>-999</v>
      </c>
      <c r="BH24" s="3">
        <v>-999</v>
      </c>
      <c r="BI24" s="3">
        <v>5902</v>
      </c>
      <c r="BJ24" s="3">
        <v>52432</v>
      </c>
      <c r="BK24" s="3">
        <v>-999</v>
      </c>
      <c r="BL24" s="3">
        <v>-999</v>
      </c>
      <c r="BM24" s="3">
        <v>3561</v>
      </c>
      <c r="BN24" s="3">
        <v>475</v>
      </c>
      <c r="BO24" s="12">
        <v>1188179</v>
      </c>
      <c r="BP24" s="3">
        <v>197164</v>
      </c>
      <c r="BQ24" s="3">
        <v>-999</v>
      </c>
      <c r="BR24" s="3">
        <v>-999</v>
      </c>
      <c r="BS24" s="3">
        <v>-999</v>
      </c>
      <c r="BT24" s="3">
        <v>-999</v>
      </c>
      <c r="BU24" s="3">
        <v>-999</v>
      </c>
      <c r="BV24" s="3">
        <v>-999</v>
      </c>
      <c r="BW24" s="3">
        <v>-999</v>
      </c>
      <c r="BX24" s="3">
        <v>-999</v>
      </c>
      <c r="BY24" s="3">
        <v>-999</v>
      </c>
      <c r="BZ24" s="3">
        <v>-999</v>
      </c>
      <c r="CA24" s="3">
        <v>-999</v>
      </c>
      <c r="CB24" s="3">
        <v>-999</v>
      </c>
      <c r="CC24" s="3">
        <v>-999</v>
      </c>
      <c r="CD24" s="3">
        <v>1275023</v>
      </c>
      <c r="CE24" s="3">
        <v>132308</v>
      </c>
      <c r="CF24" s="3">
        <v>11272</v>
      </c>
      <c r="CG24" s="3">
        <v>4401</v>
      </c>
      <c r="CH24" s="3">
        <v>2433</v>
      </c>
      <c r="CI24" s="3">
        <v>39009</v>
      </c>
      <c r="CJ24" s="3">
        <v>19518</v>
      </c>
      <c r="CK24" s="3">
        <v>80423</v>
      </c>
      <c r="CL24" s="3">
        <v>19191</v>
      </c>
      <c r="CM24" s="50">
        <f>P24/(P24+N24)</f>
        <v>0.20494428077366467</v>
      </c>
      <c r="CN24" s="50">
        <f>L24/(L24+N24+P24)</f>
        <v>9.8066046576109137E-2</v>
      </c>
      <c r="CO24" s="2">
        <f>CN24*633.3</f>
        <v>62.105227296649915</v>
      </c>
      <c r="CP24" s="50">
        <v>1</v>
      </c>
      <c r="CQ24" s="50">
        <v>1.2</v>
      </c>
      <c r="CR24" s="50">
        <v>1</v>
      </c>
      <c r="CS24" s="50">
        <v>36</v>
      </c>
      <c r="CT24" s="50">
        <v>27.5</v>
      </c>
      <c r="CU24" s="50">
        <v>3</v>
      </c>
      <c r="CV24" s="50">
        <v>2</v>
      </c>
      <c r="CW24" s="50">
        <v>1</v>
      </c>
      <c r="CX24" s="50">
        <v>0.59633000000000003</v>
      </c>
      <c r="CY24" s="27">
        <v>2</v>
      </c>
      <c r="CZ24" s="27">
        <v>1</v>
      </c>
      <c r="DA24" s="27">
        <v>98</v>
      </c>
      <c r="DB24" s="50">
        <v>0.88319999999999999</v>
      </c>
      <c r="DC24" s="27">
        <v>1</v>
      </c>
      <c r="DD24" s="27">
        <v>1</v>
      </c>
      <c r="DE24" s="27">
        <v>120</v>
      </c>
      <c r="DF24" s="1">
        <f t="shared" si="35"/>
        <v>8.3333333333333332E-3</v>
      </c>
      <c r="DG24" s="94">
        <v>20000</v>
      </c>
      <c r="DH24" s="9">
        <f t="shared" si="15"/>
        <v>0.59633000000000003</v>
      </c>
      <c r="DI24" s="1">
        <f t="shared" si="29"/>
        <v>0.56360373804564379</v>
      </c>
      <c r="DJ24" s="27">
        <v>0</v>
      </c>
      <c r="DK24" s="54">
        <f>CO24*1.0526</f>
        <v>65.371962252453699</v>
      </c>
      <c r="DL24" s="2">
        <f>S24*1108.3</f>
        <v>794.74835114617485</v>
      </c>
      <c r="DM24" s="2">
        <f>T24* 1741.7</f>
        <v>321.94663592742728</v>
      </c>
      <c r="DN24" s="1">
        <f>CX24-DH24</f>
        <v>0</v>
      </c>
      <c r="DO24" s="1">
        <f>DK24*DI24*DB24*DA24/100</f>
        <v>31.889706500772135</v>
      </c>
      <c r="DP24" s="1">
        <f>DQ24/100+100*(1-(DH24/CX24))+DN24*100</f>
        <v>5.48794492216663E-2</v>
      </c>
      <c r="DQ24" s="1">
        <f t="shared" si="31"/>
        <v>5.4879449221666299</v>
      </c>
      <c r="DR24" s="82">
        <f t="shared" si="11"/>
        <v>82.962470240318765</v>
      </c>
      <c r="DS24" s="82">
        <f t="shared" si="32"/>
        <v>6.5828916603731191E-2</v>
      </c>
      <c r="DT24" s="2">
        <f t="shared" si="33"/>
        <v>0.88319999999999999</v>
      </c>
    </row>
    <row r="25" spans="1:124" ht="16.5" x14ac:dyDescent="0.35">
      <c r="A25" s="65" t="s">
        <v>24</v>
      </c>
      <c r="B25" s="1">
        <v>1</v>
      </c>
      <c r="C25" s="6">
        <v>42339</v>
      </c>
      <c r="D25" s="17">
        <v>0.59097222222222223</v>
      </c>
      <c r="E25" s="98" t="s">
        <v>328</v>
      </c>
      <c r="F25" s="98" t="s">
        <v>329</v>
      </c>
      <c r="G25" s="9" t="s">
        <v>71</v>
      </c>
      <c r="H25" s="9" t="s">
        <v>306</v>
      </c>
      <c r="I25" s="9" t="s">
        <v>254</v>
      </c>
      <c r="J25" s="9">
        <v>2</v>
      </c>
      <c r="K25" s="80">
        <v>72.637</v>
      </c>
      <c r="L25" s="80">
        <f t="shared" si="19"/>
        <v>70.735666666666674</v>
      </c>
      <c r="M25" s="81">
        <v>1344.38</v>
      </c>
      <c r="N25" s="81">
        <f t="shared" si="20"/>
        <v>1344.2850000000001</v>
      </c>
      <c r="O25" s="33">
        <v>11575</v>
      </c>
      <c r="P25" s="33">
        <f t="shared" si="21"/>
        <v>11166</v>
      </c>
      <c r="Q25" s="37">
        <f t="shared" si="22"/>
        <v>0.89254561346923755</v>
      </c>
      <c r="R25" s="37">
        <f t="shared" si="23"/>
        <v>5.6224108155294873E-3</v>
      </c>
      <c r="S25" s="38">
        <f t="shared" si="24"/>
        <v>0.10685023382575584</v>
      </c>
      <c r="T25" s="37">
        <f t="shared" si="25"/>
        <v>0.88752735535871463</v>
      </c>
      <c r="U25" s="8">
        <v>-999</v>
      </c>
      <c r="V25" s="3">
        <v>75890</v>
      </c>
      <c r="W25" s="3">
        <v>1980</v>
      </c>
      <c r="X25" s="3">
        <v>911793</v>
      </c>
      <c r="Y25" s="21">
        <v>7043.1</v>
      </c>
      <c r="Z25" s="18">
        <v>753</v>
      </c>
      <c r="AA25" s="21">
        <v>607.29999999999995</v>
      </c>
      <c r="AB25" s="21">
        <v>54711</v>
      </c>
      <c r="AC25" s="21">
        <v>2638</v>
      </c>
      <c r="AD25" s="21">
        <v>-999</v>
      </c>
      <c r="AE25" s="18">
        <v>-999</v>
      </c>
      <c r="AF25" s="21">
        <v>-999</v>
      </c>
      <c r="AG25" s="3">
        <v>5813283</v>
      </c>
      <c r="AH25" s="3">
        <v>40446719</v>
      </c>
      <c r="AI25" s="3">
        <v>56457874</v>
      </c>
      <c r="AJ25" s="3">
        <v>673084</v>
      </c>
      <c r="AK25" s="3">
        <v>5688182</v>
      </c>
      <c r="AL25" s="3">
        <v>24421</v>
      </c>
      <c r="AM25" s="3">
        <v>80791</v>
      </c>
      <c r="AN25" s="3">
        <v>1162068</v>
      </c>
      <c r="AO25" s="3">
        <v>340553</v>
      </c>
      <c r="AP25" s="3">
        <v>163192</v>
      </c>
      <c r="AQ25" s="3">
        <v>133182</v>
      </c>
      <c r="AR25" s="3">
        <v>5353</v>
      </c>
      <c r="AS25" s="3">
        <v>17562</v>
      </c>
      <c r="AT25" s="3">
        <v>1512874</v>
      </c>
      <c r="AU25" s="3">
        <v>1012046</v>
      </c>
      <c r="AV25" s="3">
        <v>2440414</v>
      </c>
      <c r="AW25" s="3">
        <v>188079</v>
      </c>
      <c r="AX25" s="3">
        <v>67992</v>
      </c>
      <c r="AY25" s="3">
        <v>1460803</v>
      </c>
      <c r="AZ25" s="3">
        <v>588905</v>
      </c>
      <c r="BA25" s="3">
        <v>142530</v>
      </c>
      <c r="BB25" s="3">
        <v>125540</v>
      </c>
      <c r="BC25" s="3">
        <v>79621</v>
      </c>
      <c r="BD25" s="3">
        <v>76523</v>
      </c>
      <c r="BE25" s="3">
        <v>59937</v>
      </c>
      <c r="BF25" s="3">
        <v>68588</v>
      </c>
      <c r="BG25" s="3">
        <v>63676</v>
      </c>
      <c r="BH25" s="3">
        <v>52005</v>
      </c>
      <c r="BI25" s="3">
        <v>35022</v>
      </c>
      <c r="BJ25" s="3">
        <v>201123</v>
      </c>
      <c r="BK25" s="3">
        <v>62356</v>
      </c>
      <c r="BL25" s="3">
        <v>38019</v>
      </c>
      <c r="BM25" s="3">
        <v>-999</v>
      </c>
      <c r="BN25" s="3">
        <v>1255</v>
      </c>
      <c r="BO25" s="12">
        <v>8425111</v>
      </c>
      <c r="BP25" s="3">
        <v>2129221</v>
      </c>
      <c r="BQ25" s="3">
        <v>183930</v>
      </c>
      <c r="BR25" s="3">
        <v>429089</v>
      </c>
      <c r="BS25" s="3">
        <v>61382</v>
      </c>
      <c r="BT25" s="3">
        <v>326737</v>
      </c>
      <c r="BU25" s="3">
        <v>4989</v>
      </c>
      <c r="BV25" s="3">
        <v>3837</v>
      </c>
      <c r="BW25" s="3">
        <v>18906</v>
      </c>
      <c r="BX25" s="3">
        <v>8000</v>
      </c>
      <c r="BY25" s="3">
        <v>13149</v>
      </c>
      <c r="BZ25" s="3">
        <v>2152</v>
      </c>
      <c r="CA25" s="3">
        <v>43356</v>
      </c>
      <c r="CB25" s="3">
        <v>-999</v>
      </c>
      <c r="CC25" s="3">
        <v>7355</v>
      </c>
      <c r="CD25" s="3">
        <v>7513994</v>
      </c>
      <c r="CE25" s="3">
        <v>550704</v>
      </c>
      <c r="CF25" s="3">
        <v>186354</v>
      </c>
      <c r="CG25" s="3">
        <v>150594</v>
      </c>
      <c r="CH25" s="3">
        <v>225967</v>
      </c>
      <c r="CI25" s="3">
        <v>3800535</v>
      </c>
      <c r="CJ25" s="3">
        <v>132811</v>
      </c>
      <c r="CK25" s="3">
        <v>535036</v>
      </c>
      <c r="CL25" s="3">
        <v>177914</v>
      </c>
      <c r="CM25" s="2">
        <f>P25/(P25+N25)</f>
        <v>0.89254561346923755</v>
      </c>
      <c r="CN25" s="2">
        <f>L25/(L25+N25+P25)</f>
        <v>5.6224108155294873E-3</v>
      </c>
      <c r="CO25" s="2">
        <f>CN25*666.6</f>
        <v>3.7478990496319562</v>
      </c>
      <c r="CP25" s="1">
        <v>1</v>
      </c>
      <c r="CQ25" s="1">
        <v>0.8</v>
      </c>
      <c r="CR25" s="1">
        <v>1</v>
      </c>
      <c r="CS25" s="1">
        <v>22</v>
      </c>
      <c r="CT25" s="1">
        <v>36</v>
      </c>
      <c r="CU25" s="1">
        <v>3</v>
      </c>
      <c r="CV25" s="1">
        <v>2</v>
      </c>
      <c r="CW25" s="1">
        <v>1</v>
      </c>
      <c r="CX25" s="1">
        <v>0.62829999999999997</v>
      </c>
      <c r="CY25" s="1">
        <v>2</v>
      </c>
      <c r="CZ25" s="1">
        <v>2</v>
      </c>
      <c r="DA25" s="1">
        <v>98</v>
      </c>
      <c r="DB25" s="1">
        <v>0.94199999999999995</v>
      </c>
      <c r="DC25" s="1">
        <v>0</v>
      </c>
      <c r="DD25" s="1">
        <v>1</v>
      </c>
      <c r="DE25" s="1">
        <v>420</v>
      </c>
      <c r="DF25" s="1">
        <f>10/DE25</f>
        <v>2.3809523809523808E-2</v>
      </c>
      <c r="DG25" s="92">
        <v>20000</v>
      </c>
      <c r="DH25" s="9">
        <f t="shared" si="15"/>
        <v>0.62829999999999997</v>
      </c>
      <c r="DI25" s="1">
        <f t="shared" si="29"/>
        <v>0.60412835384497021</v>
      </c>
      <c r="DJ25" s="1">
        <v>1</v>
      </c>
      <c r="DK25" s="1">
        <f>CO25</f>
        <v>3.7478990496319562</v>
      </c>
      <c r="DL25" s="1">
        <f>S25*1166.6</f>
        <v>124.65148278112676</v>
      </c>
      <c r="DM25" s="1">
        <f>T25* 1833.1</f>
        <v>1626.9263951080598</v>
      </c>
      <c r="DN25" s="1">
        <f>CX25-DH25</f>
        <v>0</v>
      </c>
      <c r="DO25" s="1">
        <f>DK25*DI25*DB25*DA25/100</f>
        <v>2.0902300267557901</v>
      </c>
      <c r="DP25" s="1">
        <f>DQ25/100+100*(1-(DH25/CX25))+DN25*100</f>
        <v>3.8471504305315589E-2</v>
      </c>
      <c r="DQ25" s="1">
        <f t="shared" si="31"/>
        <v>3.8471504305315589</v>
      </c>
      <c r="DR25" s="82">
        <f t="shared" si="11"/>
        <v>270.99471872474373</v>
      </c>
      <c r="DS25" s="82">
        <f t="shared" si="32"/>
        <v>3.5039444523008334E-2</v>
      </c>
      <c r="DT25" s="2">
        <f t="shared" si="33"/>
        <v>0.94199999999999995</v>
      </c>
    </row>
    <row r="26" spans="1:124" ht="11.5" hidden="1" customHeight="1" x14ac:dyDescent="0.35">
      <c r="A26" s="1" t="s">
        <v>27</v>
      </c>
      <c r="B26" s="1">
        <v>2</v>
      </c>
      <c r="C26" s="6">
        <v>42379</v>
      </c>
      <c r="D26" s="7">
        <v>0.10416666666666667</v>
      </c>
      <c r="E26" t="s">
        <v>276</v>
      </c>
      <c r="F26" t="s">
        <v>277</v>
      </c>
      <c r="G26" s="23" t="s">
        <v>71</v>
      </c>
      <c r="H26" s="23" t="s">
        <v>301</v>
      </c>
      <c r="I26" s="23"/>
      <c r="J26" s="23"/>
      <c r="K26" s="40">
        <v>1.905</v>
      </c>
      <c r="L26" s="40"/>
      <c r="M26" s="41">
        <v>0.14000000000000001</v>
      </c>
      <c r="N26" s="41"/>
      <c r="O26" s="42">
        <v>410</v>
      </c>
      <c r="P26" s="5"/>
      <c r="Q26" s="37"/>
      <c r="R26" s="37"/>
      <c r="S26" s="38"/>
      <c r="T26" s="37"/>
      <c r="U26" s="8">
        <v>0.5</v>
      </c>
      <c r="V26" s="10">
        <v>628</v>
      </c>
      <c r="W26" s="10">
        <v>0</v>
      </c>
      <c r="X26" s="3">
        <v>797</v>
      </c>
      <c r="Y26" s="21">
        <v>7.7</v>
      </c>
      <c r="Z26" s="18">
        <v>0.3</v>
      </c>
      <c r="AA26" s="22">
        <v>5</v>
      </c>
      <c r="AB26" s="22">
        <v>7.5</v>
      </c>
      <c r="AC26" s="22">
        <v>3</v>
      </c>
      <c r="AD26" s="22">
        <v>5</v>
      </c>
      <c r="AE26" s="18">
        <v>1.9</v>
      </c>
      <c r="AF26" s="21">
        <v>3.3</v>
      </c>
      <c r="AG26" s="3">
        <v>1830</v>
      </c>
      <c r="AH26" s="3">
        <v>228</v>
      </c>
      <c r="AI26" s="3">
        <v>279</v>
      </c>
      <c r="AJ26" s="3">
        <v>250</v>
      </c>
      <c r="AK26" s="3">
        <v>48</v>
      </c>
      <c r="AL26" s="3">
        <v>24</v>
      </c>
      <c r="AM26" s="3">
        <v>51</v>
      </c>
      <c r="AN26" s="3">
        <v>-888</v>
      </c>
      <c r="AO26" s="3">
        <v>59</v>
      </c>
      <c r="AP26" s="3">
        <v>-888</v>
      </c>
      <c r="AQ26" s="3">
        <v>-888</v>
      </c>
      <c r="AR26" s="3">
        <v>-888</v>
      </c>
      <c r="AS26" s="3">
        <v>-888</v>
      </c>
      <c r="AT26" s="3">
        <v>-888</v>
      </c>
      <c r="AU26" s="3">
        <v>-888</v>
      </c>
      <c r="AV26" s="3">
        <v>-888</v>
      </c>
      <c r="AW26" s="3">
        <v>-888</v>
      </c>
      <c r="AX26" s="3">
        <v>-888</v>
      </c>
      <c r="AY26" s="3">
        <v>-888</v>
      </c>
      <c r="AZ26" s="3">
        <v>-888</v>
      </c>
      <c r="BA26" s="3">
        <v>-888</v>
      </c>
      <c r="BB26" s="3">
        <v>-888</v>
      </c>
      <c r="BC26" s="3">
        <v>194</v>
      </c>
      <c r="BD26" s="3">
        <v>-888</v>
      </c>
      <c r="BE26" s="3">
        <v>-888</v>
      </c>
      <c r="BF26" s="3">
        <v>-888</v>
      </c>
      <c r="BG26" s="3">
        <v>-888</v>
      </c>
      <c r="BH26" s="3">
        <v>-888</v>
      </c>
      <c r="BI26" s="3">
        <v>-888</v>
      </c>
      <c r="BJ26" s="3">
        <v>-888</v>
      </c>
      <c r="BK26" s="3">
        <v>-888</v>
      </c>
      <c r="BL26" s="3">
        <v>-888</v>
      </c>
      <c r="BM26" s="3">
        <v>-888</v>
      </c>
      <c r="BN26" s="3">
        <v>-888</v>
      </c>
      <c r="BO26" s="12">
        <v>115</v>
      </c>
      <c r="BP26" s="3">
        <v>214</v>
      </c>
      <c r="BQ26" s="3">
        <v>34</v>
      </c>
      <c r="BR26" s="3">
        <v>235</v>
      </c>
      <c r="BS26" s="3">
        <v>56</v>
      </c>
      <c r="BT26" s="3">
        <v>27</v>
      </c>
      <c r="BU26" s="3">
        <v>-888</v>
      </c>
      <c r="BV26" s="3">
        <v>-888</v>
      </c>
      <c r="BW26" s="3">
        <v>-888</v>
      </c>
      <c r="BX26" s="3">
        <v>-888</v>
      </c>
      <c r="BY26" s="3">
        <v>-888</v>
      </c>
      <c r="BZ26" s="3">
        <v>33</v>
      </c>
      <c r="CA26" s="3">
        <v>79</v>
      </c>
      <c r="CB26" s="3">
        <v>37</v>
      </c>
      <c r="CC26" s="10">
        <v>-888</v>
      </c>
      <c r="CD26" s="10">
        <v>2403</v>
      </c>
      <c r="CE26" s="10">
        <v>1989</v>
      </c>
      <c r="CF26" s="10">
        <v>546</v>
      </c>
      <c r="CG26" s="10">
        <v>97</v>
      </c>
      <c r="CH26" s="10">
        <v>196</v>
      </c>
      <c r="CI26" s="10">
        <v>7746</v>
      </c>
      <c r="CJ26" s="10">
        <v>1646</v>
      </c>
      <c r="CK26" s="3">
        <v>66</v>
      </c>
      <c r="CL26" s="3">
        <v>44</v>
      </c>
      <c r="CM26" s="54"/>
      <c r="CN26" s="54"/>
      <c r="CO26" s="54"/>
      <c r="CP26" s="54"/>
      <c r="CQ26" s="2"/>
      <c r="CR26" s="2"/>
      <c r="CS26" s="2"/>
      <c r="CT26" s="2"/>
      <c r="CU26" s="2"/>
      <c r="CV26" s="2"/>
      <c r="CW26" s="2"/>
      <c r="CX26" s="2"/>
      <c r="CZ26" s="23"/>
      <c r="DA26" s="23"/>
      <c r="DB26" s="54"/>
      <c r="DC26" s="23"/>
      <c r="DD26" s="23"/>
      <c r="DE26" s="23"/>
      <c r="DF26" s="23"/>
      <c r="DG26" s="91"/>
      <c r="DH26" s="64">
        <f t="shared" si="15"/>
        <v>0</v>
      </c>
      <c r="DI26" s="1"/>
      <c r="DJ26" s="2"/>
      <c r="DN26" s="1">
        <f>CX26-DH26</f>
        <v>0</v>
      </c>
      <c r="DO26" s="1"/>
      <c r="DP26" s="1"/>
      <c r="DQ26" s="1"/>
      <c r="DR26" s="82"/>
      <c r="DS26" s="82"/>
    </row>
    <row r="27" spans="1:124" ht="16.5" x14ac:dyDescent="0.35">
      <c r="A27" s="76" t="s">
        <v>23</v>
      </c>
      <c r="B27" s="1">
        <v>1</v>
      </c>
      <c r="C27" s="6">
        <v>42334</v>
      </c>
      <c r="D27" s="17">
        <v>0.625</v>
      </c>
      <c r="E27" s="98" t="s">
        <v>330</v>
      </c>
      <c r="F27" s="98" t="s">
        <v>331</v>
      </c>
      <c r="G27" s="9" t="s">
        <v>258</v>
      </c>
      <c r="H27" s="9" t="s">
        <v>172</v>
      </c>
      <c r="I27" s="9" t="s">
        <v>70</v>
      </c>
      <c r="J27" s="9">
        <v>2</v>
      </c>
      <c r="K27" s="80">
        <v>15.467000000000001</v>
      </c>
      <c r="L27" s="80">
        <f t="shared" ref="L27:L45" si="36">K27-$L$2</f>
        <v>13.565666666666667</v>
      </c>
      <c r="M27" s="81">
        <v>432.41</v>
      </c>
      <c r="N27" s="81">
        <f t="shared" ref="N27:N45" si="37">M27-$N$2</f>
        <v>432.315</v>
      </c>
      <c r="O27" s="33">
        <v>4015</v>
      </c>
      <c r="P27" s="33">
        <f t="shared" ref="P27:P45" si="38">O27-$P$2</f>
        <v>3606</v>
      </c>
      <c r="Q27" s="37">
        <f t="shared" ref="Q27:Q45" si="39">P27/(P27+N27)</f>
        <v>0.89294668692263979</v>
      </c>
      <c r="R27" s="37">
        <f t="shared" ref="R27:R45" si="40">L27/(L27+N27+P27)</f>
        <v>3.3479926440742494E-3</v>
      </c>
      <c r="S27" s="38">
        <f t="shared" ref="S27:S45" si="41">N27/(N27+L27+P27)</f>
        <v>0.10669489937265345</v>
      </c>
      <c r="T27" s="37">
        <f t="shared" ref="T27:T45" si="42">P27/(P27+N27+L27)</f>
        <v>0.88995710798327221</v>
      </c>
      <c r="U27" s="8">
        <v>63.5</v>
      </c>
      <c r="V27" s="3">
        <v>16819</v>
      </c>
      <c r="W27" s="3">
        <v>271</v>
      </c>
      <c r="X27" s="3">
        <v>80433</v>
      </c>
      <c r="Y27" s="21">
        <v>772.8</v>
      </c>
      <c r="Z27" s="18">
        <v>96.7</v>
      </c>
      <c r="AA27" s="21">
        <v>355.4</v>
      </c>
      <c r="AB27" s="21">
        <v>593.1</v>
      </c>
      <c r="AC27" s="21">
        <v>158.69999999999999</v>
      </c>
      <c r="AD27" s="21">
        <v>127.6</v>
      </c>
      <c r="AE27" s="18">
        <v>78.2</v>
      </c>
      <c r="AF27" s="21">
        <v>30.2</v>
      </c>
      <c r="AG27" s="3">
        <v>841746</v>
      </c>
      <c r="AH27" s="3">
        <v>3894868</v>
      </c>
      <c r="AI27" s="3">
        <v>2376159</v>
      </c>
      <c r="AJ27" s="3">
        <v>132145</v>
      </c>
      <c r="AK27" s="3">
        <v>895047</v>
      </c>
      <c r="AL27" s="3">
        <v>15581</v>
      </c>
      <c r="AM27" s="3">
        <v>42737</v>
      </c>
      <c r="AN27" s="3">
        <v>168034</v>
      </c>
      <c r="AO27" s="3">
        <v>98391</v>
      </c>
      <c r="AP27" s="3">
        <v>37199</v>
      </c>
      <c r="AQ27" s="3">
        <v>27553</v>
      </c>
      <c r="AR27" s="3">
        <v>3617</v>
      </c>
      <c r="AS27" s="3">
        <v>9339</v>
      </c>
      <c r="AT27" s="3">
        <v>245699</v>
      </c>
      <c r="AU27" s="3">
        <v>55517</v>
      </c>
      <c r="AV27" s="3">
        <v>154482</v>
      </c>
      <c r="AW27" s="3">
        <v>10604</v>
      </c>
      <c r="AX27" s="3">
        <v>6324</v>
      </c>
      <c r="AY27" s="3">
        <v>48935</v>
      </c>
      <c r="AZ27" s="3">
        <v>3962</v>
      </c>
      <c r="BA27" s="3">
        <v>9009</v>
      </c>
      <c r="BB27" s="3">
        <v>34841</v>
      </c>
      <c r="BC27" s="3">
        <v>244182</v>
      </c>
      <c r="BD27" s="3">
        <v>12761</v>
      </c>
      <c r="BE27" s="3">
        <v>8054</v>
      </c>
      <c r="BF27" s="3">
        <v>13042</v>
      </c>
      <c r="BG27" s="3">
        <v>18553</v>
      </c>
      <c r="BH27" s="3">
        <v>22614</v>
      </c>
      <c r="BI27" s="3">
        <v>18716</v>
      </c>
      <c r="BJ27" s="3">
        <v>51740</v>
      </c>
      <c r="BK27" s="3">
        <v>20431</v>
      </c>
      <c r="BL27" s="3">
        <v>10343</v>
      </c>
      <c r="BM27" s="3">
        <v>5670</v>
      </c>
      <c r="BN27" s="3">
        <v>707</v>
      </c>
      <c r="BO27" s="12">
        <v>499990</v>
      </c>
      <c r="BP27" s="3">
        <v>178979</v>
      </c>
      <c r="BQ27" s="3">
        <v>16689</v>
      </c>
      <c r="BR27" s="3">
        <v>50441</v>
      </c>
      <c r="BS27" s="3">
        <v>16910</v>
      </c>
      <c r="BT27" s="3">
        <v>27536</v>
      </c>
      <c r="BU27" s="3">
        <v>702</v>
      </c>
      <c r="BV27" s="3">
        <v>1412</v>
      </c>
      <c r="BW27" s="3">
        <v>5675</v>
      </c>
      <c r="BX27" s="3">
        <v>3286</v>
      </c>
      <c r="BY27" s="3">
        <v>2492</v>
      </c>
      <c r="BZ27" s="3">
        <v>5035</v>
      </c>
      <c r="CA27" s="3">
        <v>12058</v>
      </c>
      <c r="CB27" s="3">
        <v>9825</v>
      </c>
      <c r="CC27" s="3">
        <v>140</v>
      </c>
      <c r="CD27" s="3">
        <v>1009257</v>
      </c>
      <c r="CE27" s="3">
        <v>155991</v>
      </c>
      <c r="CF27" s="3">
        <v>44924</v>
      </c>
      <c r="CG27" s="3">
        <v>53376</v>
      </c>
      <c r="CH27" s="3">
        <v>8084</v>
      </c>
      <c r="CI27" s="3">
        <v>406781</v>
      </c>
      <c r="CJ27" s="3">
        <v>8878</v>
      </c>
      <c r="CK27" s="3">
        <v>136858</v>
      </c>
      <c r="CL27" s="3">
        <v>43807</v>
      </c>
      <c r="CM27" s="2">
        <f>P27/(P27+N27)</f>
        <v>0.89294668692263979</v>
      </c>
      <c r="CN27" s="2">
        <f>L27/(L27+N27+P27)</f>
        <v>3.3479926440742494E-3</v>
      </c>
      <c r="CO27" s="2">
        <f t="shared" ref="CO27:CO44" si="43">CN27*666.6</f>
        <v>2.2317718965398945</v>
      </c>
      <c r="CP27" s="1">
        <v>1</v>
      </c>
      <c r="CQ27" s="1">
        <v>0.2</v>
      </c>
      <c r="CR27" s="1">
        <v>0.42</v>
      </c>
      <c r="CS27" s="1">
        <v>25.4</v>
      </c>
      <c r="CT27" s="1">
        <v>36.799999999999997</v>
      </c>
      <c r="CU27" s="1">
        <v>3</v>
      </c>
      <c r="CV27" s="1">
        <v>3</v>
      </c>
      <c r="CW27" s="1">
        <v>1</v>
      </c>
      <c r="CX27" s="1">
        <v>0.33067000000000002</v>
      </c>
      <c r="CY27" s="1">
        <v>1.5</v>
      </c>
      <c r="CZ27" s="1">
        <v>2</v>
      </c>
      <c r="DA27" s="1">
        <v>85</v>
      </c>
      <c r="DB27" s="1">
        <v>0.93140000000000001</v>
      </c>
      <c r="DC27" s="1">
        <v>1</v>
      </c>
      <c r="DD27" s="1">
        <v>1</v>
      </c>
      <c r="DE27" s="1">
        <v>1146</v>
      </c>
      <c r="DF27" s="1">
        <f t="shared" ref="DF27:DF44" si="44">10/DE27</f>
        <v>8.7260034904013961E-3</v>
      </c>
      <c r="DG27" s="92">
        <v>20000</v>
      </c>
      <c r="DH27" s="9">
        <f t="shared" si="15"/>
        <v>0.33067000000000002</v>
      </c>
      <c r="DI27" s="1">
        <f t="shared" ref="DI27:DI44" si="45">DH27-(DH27*DP27)</f>
        <v>0.31743514119717459</v>
      </c>
      <c r="DJ27" s="1">
        <v>1</v>
      </c>
      <c r="DK27" s="1">
        <f t="shared" ref="DK27:DK44" si="46">CO27</f>
        <v>2.2317718965398945</v>
      </c>
      <c r="DL27" s="1">
        <f>S27*1166.6</f>
        <v>124.4702696081375</v>
      </c>
      <c r="DM27" s="1">
        <f>T27* 1833.1</f>
        <v>1631.3803746441363</v>
      </c>
      <c r="DN27" s="1">
        <f>CX27-DH27</f>
        <v>0</v>
      </c>
      <c r="DO27" s="1">
        <f t="shared" ref="DO27:DO42" si="47">DK27*DI27*DT27*DA27/100</f>
        <v>0.56086710178523747</v>
      </c>
      <c r="DP27" s="1">
        <f t="shared" ref="DP27:DP44" si="48">DQ27/100+(1-(DH27/CX27))+DN27</f>
        <v>4.0024371133835696E-2</v>
      </c>
      <c r="DQ27" s="1">
        <f t="shared" ref="DQ27:DQ43" si="49">5.658+0.04651*CS27+3.151*10^-4*CS27^3*CT27^-1-0.1854*CT27^0.77</f>
        <v>4.0024371133835697</v>
      </c>
      <c r="DR27" s="82">
        <f t="shared" si="11"/>
        <v>51.598445115366225</v>
      </c>
      <c r="DS27" s="82">
        <f t="shared" ref="DS27:DS37" si="50">DI27-DI27*DB27</f>
        <v>2.1776050686126147E-2</v>
      </c>
      <c r="DT27" s="2">
        <f t="shared" ref="DT27:DT44" si="51">(DI27-DS27)/DI27</f>
        <v>0.93140000000000012</v>
      </c>
    </row>
    <row r="28" spans="1:124" ht="11" customHeight="1" x14ac:dyDescent="0.35">
      <c r="A28" s="65" t="s">
        <v>33</v>
      </c>
      <c r="B28" s="1">
        <v>2</v>
      </c>
      <c r="C28" s="6">
        <v>42374</v>
      </c>
      <c r="D28" s="7">
        <v>9.9999999999999992E-2</v>
      </c>
      <c r="E28" t="s">
        <v>280</v>
      </c>
      <c r="F28" t="s">
        <v>281</v>
      </c>
      <c r="G28" s="9" t="s">
        <v>258</v>
      </c>
      <c r="H28" s="9" t="s">
        <v>257</v>
      </c>
      <c r="I28" s="9" t="s">
        <v>72</v>
      </c>
      <c r="J28" s="9">
        <v>1</v>
      </c>
      <c r="K28" s="80">
        <v>47.970999999999997</v>
      </c>
      <c r="L28" s="80">
        <f t="shared" si="36"/>
        <v>46.069666666666663</v>
      </c>
      <c r="M28" s="81">
        <v>801.52</v>
      </c>
      <c r="N28" s="81">
        <f t="shared" si="37"/>
        <v>801.42499999999995</v>
      </c>
      <c r="O28" s="33">
        <v>7019</v>
      </c>
      <c r="P28" s="33">
        <f t="shared" si="38"/>
        <v>6610</v>
      </c>
      <c r="Q28" s="37">
        <f t="shared" si="39"/>
        <v>0.89186627402962315</v>
      </c>
      <c r="R28" s="37">
        <f t="shared" si="40"/>
        <v>6.1776332033581967E-3</v>
      </c>
      <c r="S28" s="38">
        <f t="shared" si="41"/>
        <v>0.10746571547441938</v>
      </c>
      <c r="T28" s="37">
        <f t="shared" si="42"/>
        <v>0.88635665132222241</v>
      </c>
      <c r="U28" s="8">
        <v>-999</v>
      </c>
      <c r="V28" s="10">
        <v>65888</v>
      </c>
      <c r="W28" s="10">
        <v>3422</v>
      </c>
      <c r="X28" s="3">
        <v>418499</v>
      </c>
      <c r="Y28" s="21">
        <v>2550</v>
      </c>
      <c r="Z28" s="18">
        <v>781.6</v>
      </c>
      <c r="AA28" s="22">
        <v>1036.3</v>
      </c>
      <c r="AB28" s="22">
        <v>18260.8</v>
      </c>
      <c r="AC28" s="22">
        <v>1244.2</v>
      </c>
      <c r="AD28" s="22">
        <v>1439.6</v>
      </c>
      <c r="AE28" s="18">
        <v>409.3</v>
      </c>
      <c r="AF28" s="21">
        <v>767.7</v>
      </c>
      <c r="AG28" s="3">
        <v>4181350</v>
      </c>
      <c r="AH28" s="3">
        <v>12244685</v>
      </c>
      <c r="AI28" s="3">
        <v>5848449</v>
      </c>
      <c r="AJ28" s="3">
        <v>1338657</v>
      </c>
      <c r="AK28" s="3">
        <v>4925841</v>
      </c>
      <c r="AL28" s="3">
        <v>87251</v>
      </c>
      <c r="AM28" s="3">
        <v>346432</v>
      </c>
      <c r="AN28" s="3">
        <v>989343</v>
      </c>
      <c r="AO28" s="3">
        <v>598194</v>
      </c>
      <c r="AP28" s="3">
        <v>228899</v>
      </c>
      <c r="AQ28" s="3">
        <v>175749</v>
      </c>
      <c r="AR28" s="3">
        <v>32879</v>
      </c>
      <c r="AS28" s="3">
        <v>109098</v>
      </c>
      <c r="AT28" s="3">
        <v>567653</v>
      </c>
      <c r="AU28" s="3">
        <v>147345</v>
      </c>
      <c r="AV28" s="3">
        <v>404083</v>
      </c>
      <c r="AW28" s="3">
        <v>27626</v>
      </c>
      <c r="AX28" s="3">
        <v>19632</v>
      </c>
      <c r="AY28" s="3">
        <v>102489</v>
      </c>
      <c r="AZ28" s="3">
        <v>14740</v>
      </c>
      <c r="BA28" s="3">
        <v>22562</v>
      </c>
      <c r="BB28" s="3">
        <v>253896</v>
      </c>
      <c r="BC28" s="3">
        <v>53761</v>
      </c>
      <c r="BD28" s="3">
        <v>66758</v>
      </c>
      <c r="BE28" s="3">
        <v>39110</v>
      </c>
      <c r="BF28" s="3">
        <v>62853</v>
      </c>
      <c r="BG28" s="3">
        <v>80012</v>
      </c>
      <c r="BH28" s="3">
        <v>56876</v>
      </c>
      <c r="BI28" s="3">
        <v>126971</v>
      </c>
      <c r="BJ28" s="3">
        <v>338455</v>
      </c>
      <c r="BK28" s="3">
        <v>136579</v>
      </c>
      <c r="BL28" s="3">
        <v>66118</v>
      </c>
      <c r="BM28" s="3">
        <v>74008</v>
      </c>
      <c r="BN28" s="10">
        <v>13501</v>
      </c>
      <c r="BO28" s="12">
        <v>1905348</v>
      </c>
      <c r="BP28" s="3">
        <v>1275369</v>
      </c>
      <c r="BQ28" s="3">
        <v>54039</v>
      </c>
      <c r="BR28" s="3">
        <v>131271</v>
      </c>
      <c r="BS28" s="3">
        <v>51464</v>
      </c>
      <c r="BT28" s="3">
        <v>-999</v>
      </c>
      <c r="BU28" s="3">
        <v>-999</v>
      </c>
      <c r="BV28" s="3">
        <v>-999</v>
      </c>
      <c r="BW28" s="3">
        <v>-999</v>
      </c>
      <c r="BX28" s="3">
        <v>-999</v>
      </c>
      <c r="BY28" s="3">
        <v>-999</v>
      </c>
      <c r="BZ28" s="3">
        <v>-999</v>
      </c>
      <c r="CA28" s="3">
        <v>-999</v>
      </c>
      <c r="CB28" s="3">
        <v>-999</v>
      </c>
      <c r="CC28" s="10">
        <v>-999</v>
      </c>
      <c r="CD28" s="3">
        <v>6383078</v>
      </c>
      <c r="CE28" s="3">
        <v>642665</v>
      </c>
      <c r="CF28" s="3">
        <v>95296</v>
      </c>
      <c r="CG28" s="3">
        <v>122298</v>
      </c>
      <c r="CH28" s="3">
        <v>17300</v>
      </c>
      <c r="CI28" s="3">
        <v>3921614</v>
      </c>
      <c r="CJ28" s="3">
        <v>11111</v>
      </c>
      <c r="CK28" s="3">
        <v>561769</v>
      </c>
      <c r="CL28" s="61">
        <v>256015</v>
      </c>
      <c r="CM28" s="53">
        <f>P28/(P28+N28)</f>
        <v>0.89186627402962315</v>
      </c>
      <c r="CN28" s="53">
        <f>L28/(L28+N28+P28)</f>
        <v>6.1776332033581967E-3</v>
      </c>
      <c r="CO28" s="2">
        <f t="shared" si="43"/>
        <v>4.1180102933585738</v>
      </c>
      <c r="CP28" s="52">
        <v>2</v>
      </c>
      <c r="CQ28" s="1">
        <v>2.6</v>
      </c>
      <c r="CR28" s="1">
        <v>0.65</v>
      </c>
      <c r="CS28" s="1">
        <v>36.5</v>
      </c>
      <c r="CT28" s="1">
        <v>23</v>
      </c>
      <c r="CU28" s="1">
        <v>2</v>
      </c>
      <c r="CV28" s="1">
        <v>6</v>
      </c>
      <c r="CW28" s="1">
        <v>2</v>
      </c>
      <c r="CX28" s="1">
        <v>0.31433</v>
      </c>
      <c r="CY28" s="1">
        <v>0.75</v>
      </c>
      <c r="CZ28" s="1">
        <v>1</v>
      </c>
      <c r="DA28" s="1">
        <v>90</v>
      </c>
      <c r="DB28" s="1">
        <v>0.62350000000000005</v>
      </c>
      <c r="DC28" s="1">
        <v>0</v>
      </c>
      <c r="DD28" s="1">
        <v>1</v>
      </c>
      <c r="DE28" s="1">
        <v>720</v>
      </c>
      <c r="DF28" s="1">
        <f t="shared" si="44"/>
        <v>1.3888888888888888E-2</v>
      </c>
      <c r="DG28" s="92">
        <v>20000</v>
      </c>
      <c r="DH28" s="9">
        <f t="shared" si="15"/>
        <v>0.31433</v>
      </c>
      <c r="DI28" s="1">
        <f t="shared" si="45"/>
        <v>0.29563172928014142</v>
      </c>
      <c r="DJ28" s="1">
        <v>1</v>
      </c>
      <c r="DK28" s="1">
        <f t="shared" si="46"/>
        <v>4.1180102933585738</v>
      </c>
      <c r="DL28" s="1">
        <f>S28*1166.6</f>
        <v>125.36950367245764</v>
      </c>
      <c r="DM28" s="1">
        <f>T28* 1833.1</f>
        <v>1624.7803775387658</v>
      </c>
      <c r="DN28" s="1">
        <f>CX28-DH28</f>
        <v>0</v>
      </c>
      <c r="DO28" s="1">
        <f t="shared" si="47"/>
        <v>0.68315214904250188</v>
      </c>
      <c r="DP28" s="1">
        <f t="shared" si="48"/>
        <v>5.9486115610532207E-2</v>
      </c>
      <c r="DQ28" s="1">
        <f t="shared" si="49"/>
        <v>5.9486115610532204</v>
      </c>
      <c r="DR28" s="82">
        <f t="shared" si="11"/>
        <v>51.201773112824498</v>
      </c>
      <c r="DS28" s="82">
        <f t="shared" si="50"/>
        <v>0.11130534607397322</v>
      </c>
      <c r="DT28" s="2">
        <f t="shared" si="51"/>
        <v>0.62350000000000005</v>
      </c>
    </row>
    <row r="29" spans="1:124" ht="16.5" x14ac:dyDescent="0.35">
      <c r="A29" s="65" t="s">
        <v>55</v>
      </c>
      <c r="B29" s="1">
        <v>2</v>
      </c>
      <c r="C29" s="6">
        <v>42374</v>
      </c>
      <c r="D29" s="7">
        <v>0.65625</v>
      </c>
      <c r="E29" t="s">
        <v>282</v>
      </c>
      <c r="F29" t="s">
        <v>283</v>
      </c>
      <c r="G29" s="9" t="s">
        <v>258</v>
      </c>
      <c r="H29" s="9" t="s">
        <v>173</v>
      </c>
      <c r="I29" s="9" t="s">
        <v>69</v>
      </c>
      <c r="J29" s="9">
        <v>2</v>
      </c>
      <c r="K29" s="80">
        <v>55.863</v>
      </c>
      <c r="L29" s="80">
        <f t="shared" si="36"/>
        <v>53.961666666666666</v>
      </c>
      <c r="M29" s="81">
        <v>2039.75</v>
      </c>
      <c r="N29" s="81">
        <f t="shared" si="37"/>
        <v>2039.655</v>
      </c>
      <c r="O29" s="33">
        <v>19561</v>
      </c>
      <c r="P29" s="33">
        <f t="shared" si="38"/>
        <v>19152</v>
      </c>
      <c r="Q29" s="37">
        <f t="shared" si="39"/>
        <v>0.90375197217961512</v>
      </c>
      <c r="R29" s="37">
        <f t="shared" si="40"/>
        <v>2.5398964649178614E-3</v>
      </c>
      <c r="S29" s="38">
        <f t="shared" si="41"/>
        <v>9.6003567794768638E-2</v>
      </c>
      <c r="T29" s="37">
        <f t="shared" si="42"/>
        <v>0.90145653574031359</v>
      </c>
      <c r="U29" s="8">
        <v>189</v>
      </c>
      <c r="V29" s="10">
        <v>71148</v>
      </c>
      <c r="W29" s="10">
        <v>-999</v>
      </c>
      <c r="X29" s="3">
        <v>418873</v>
      </c>
      <c r="Y29" s="21">
        <v>7016.2</v>
      </c>
      <c r="Z29" s="18">
        <v>782.8</v>
      </c>
      <c r="AA29" s="22">
        <v>1298.5</v>
      </c>
      <c r="AB29" s="22">
        <v>1546560.8</v>
      </c>
      <c r="AC29" s="22">
        <v>116071.7</v>
      </c>
      <c r="AD29" s="22">
        <v>22379.3</v>
      </c>
      <c r="AE29" s="18">
        <v>9576.1</v>
      </c>
      <c r="AF29" s="21">
        <v>3485.4</v>
      </c>
      <c r="AG29" s="3">
        <v>4094514</v>
      </c>
      <c r="AH29" s="3">
        <v>22210831</v>
      </c>
      <c r="AI29" s="3">
        <v>14105067</v>
      </c>
      <c r="AJ29" s="3">
        <v>825134</v>
      </c>
      <c r="AK29" s="3">
        <v>5350815</v>
      </c>
      <c r="AL29" s="3">
        <v>35091</v>
      </c>
      <c r="AM29" s="3">
        <v>156117</v>
      </c>
      <c r="AN29" s="3">
        <v>930391</v>
      </c>
      <c r="AO29" s="3">
        <v>146526</v>
      </c>
      <c r="AP29" s="3">
        <v>153558</v>
      </c>
      <c r="AQ29" s="3">
        <v>92731</v>
      </c>
      <c r="AR29" s="10">
        <v>9353</v>
      </c>
      <c r="AS29" s="3">
        <v>39479</v>
      </c>
      <c r="AT29" s="3">
        <v>255555</v>
      </c>
      <c r="AU29" s="3">
        <v>198105</v>
      </c>
      <c r="AV29" s="3">
        <v>668289</v>
      </c>
      <c r="AW29" s="3">
        <v>46174</v>
      </c>
      <c r="AX29" s="3">
        <v>24714</v>
      </c>
      <c r="AY29" s="3">
        <v>333333</v>
      </c>
      <c r="AZ29" s="3">
        <v>11751</v>
      </c>
      <c r="BA29" s="3">
        <v>-999</v>
      </c>
      <c r="BB29" s="3">
        <v>216601</v>
      </c>
      <c r="BC29" s="10">
        <v>9506</v>
      </c>
      <c r="BD29" s="3">
        <v>53707</v>
      </c>
      <c r="BE29" s="3">
        <v>15846</v>
      </c>
      <c r="BF29" s="3">
        <v>55539</v>
      </c>
      <c r="BG29" s="3">
        <v>19113</v>
      </c>
      <c r="BH29" s="3">
        <v>51063</v>
      </c>
      <c r="BI29" s="3">
        <v>38722</v>
      </c>
      <c r="BJ29" s="3">
        <v>262112</v>
      </c>
      <c r="BK29" s="3">
        <v>97394</v>
      </c>
      <c r="BL29" s="3">
        <v>49664</v>
      </c>
      <c r="BM29" s="3">
        <v>33976</v>
      </c>
      <c r="BN29" s="10">
        <v>4356</v>
      </c>
      <c r="BO29" s="12">
        <v>3410732</v>
      </c>
      <c r="BP29" s="3">
        <v>1271305</v>
      </c>
      <c r="BQ29" s="3">
        <v>79983</v>
      </c>
      <c r="BR29" s="3">
        <v>145824</v>
      </c>
      <c r="BS29" s="3">
        <v>71974</v>
      </c>
      <c r="BT29" s="3">
        <v>3476</v>
      </c>
      <c r="BU29" s="3">
        <v>3821</v>
      </c>
      <c r="BV29" s="3">
        <v>5889</v>
      </c>
      <c r="BW29" s="3">
        <v>12531</v>
      </c>
      <c r="BX29" s="3">
        <v>7812</v>
      </c>
      <c r="BY29" s="3">
        <v>10143</v>
      </c>
      <c r="BZ29" s="3">
        <v>5319</v>
      </c>
      <c r="CA29" s="3">
        <v>18993</v>
      </c>
      <c r="CB29" s="3">
        <v>13884</v>
      </c>
      <c r="CC29" s="10">
        <v>-999</v>
      </c>
      <c r="CD29" s="3">
        <v>6176615</v>
      </c>
      <c r="CE29" s="3">
        <v>918757</v>
      </c>
      <c r="CF29" s="3">
        <v>178682</v>
      </c>
      <c r="CG29" s="3">
        <v>63128</v>
      </c>
      <c r="CH29" s="3">
        <v>130077</v>
      </c>
      <c r="CI29" s="3">
        <v>8585060</v>
      </c>
      <c r="CJ29" s="3">
        <v>44444</v>
      </c>
      <c r="CK29" s="3">
        <v>806785</v>
      </c>
      <c r="CL29" s="61">
        <v>86498</v>
      </c>
      <c r="CM29" s="53">
        <f>P29/(P29+N29)</f>
        <v>0.90375197217961512</v>
      </c>
      <c r="CN29" s="53">
        <f>L29/(L29+N29+P29)</f>
        <v>2.5398964649178614E-3</v>
      </c>
      <c r="CO29" s="2">
        <f t="shared" si="43"/>
        <v>1.6930949835142464</v>
      </c>
      <c r="CP29" s="52">
        <v>2</v>
      </c>
      <c r="CQ29" s="1">
        <v>1.8</v>
      </c>
      <c r="CR29" s="1">
        <v>0.69</v>
      </c>
      <c r="CS29" s="1">
        <v>39.700000000000003</v>
      </c>
      <c r="CT29" s="1">
        <v>25.3</v>
      </c>
      <c r="CU29" s="1">
        <v>3</v>
      </c>
      <c r="CV29" s="1">
        <v>2</v>
      </c>
      <c r="CW29" s="1">
        <v>1</v>
      </c>
      <c r="CX29" s="1">
        <v>0.42066999999999999</v>
      </c>
      <c r="CY29" s="1">
        <v>1.25</v>
      </c>
      <c r="CZ29" s="1">
        <v>2</v>
      </c>
      <c r="DA29" s="1">
        <v>98</v>
      </c>
      <c r="DB29" s="1">
        <v>0.88269999999999993</v>
      </c>
      <c r="DC29" s="1">
        <v>1</v>
      </c>
      <c r="DD29" s="1">
        <v>0</v>
      </c>
      <c r="DE29" s="1">
        <v>900</v>
      </c>
      <c r="DF29" s="1">
        <f t="shared" si="44"/>
        <v>1.1111111111111112E-2</v>
      </c>
      <c r="DG29" s="92">
        <v>20000</v>
      </c>
      <c r="DH29" s="9">
        <f t="shared" si="15"/>
        <v>0.42066999999999999</v>
      </c>
      <c r="DI29" s="1">
        <f t="shared" si="45"/>
        <v>0.29004072909442424</v>
      </c>
      <c r="DJ29" s="1">
        <v>1</v>
      </c>
      <c r="DK29" s="1">
        <f t="shared" si="46"/>
        <v>1.6930949835142464</v>
      </c>
      <c r="DL29" s="1">
        <f>S29*1166.6</f>
        <v>111.99776218937708</v>
      </c>
      <c r="DM29" s="1">
        <f>T29* 1833.1</f>
        <v>1652.4599756655687</v>
      </c>
      <c r="DN29" s="1">
        <v>0.25</v>
      </c>
      <c r="DO29" s="1">
        <f t="shared" si="47"/>
        <v>0.42479511453872376</v>
      </c>
      <c r="DP29" s="1">
        <f t="shared" si="48"/>
        <v>0.31052670954804412</v>
      </c>
      <c r="DQ29" s="1">
        <f t="shared" si="49"/>
        <v>6.0526709548044106</v>
      </c>
      <c r="DR29" s="82">
        <f t="shared" si="11"/>
        <v>56.893100349255178</v>
      </c>
      <c r="DS29" s="82">
        <f t="shared" si="50"/>
        <v>3.4021777522775964E-2</v>
      </c>
      <c r="DT29" s="2">
        <f t="shared" si="51"/>
        <v>0.88270000000000004</v>
      </c>
    </row>
    <row r="30" spans="1:124" ht="16.5" x14ac:dyDescent="0.35">
      <c r="A30" s="65" t="s">
        <v>31</v>
      </c>
      <c r="B30" s="1">
        <v>2</v>
      </c>
      <c r="C30" s="6">
        <v>42374</v>
      </c>
      <c r="D30" s="7">
        <v>0.58333333333333337</v>
      </c>
      <c r="E30" t="s">
        <v>284</v>
      </c>
      <c r="F30" t="s">
        <v>281</v>
      </c>
      <c r="G30" s="9" t="s">
        <v>258</v>
      </c>
      <c r="H30" s="9" t="s">
        <v>193</v>
      </c>
      <c r="I30" s="9" t="s">
        <v>300</v>
      </c>
      <c r="J30" s="9">
        <v>2</v>
      </c>
      <c r="K30" s="80">
        <v>76.102999999999994</v>
      </c>
      <c r="L30" s="80">
        <f t="shared" si="36"/>
        <v>74.201666666666668</v>
      </c>
      <c r="M30" s="81">
        <v>1379.8</v>
      </c>
      <c r="N30" s="81">
        <f t="shared" si="37"/>
        <v>1379.7049999999999</v>
      </c>
      <c r="O30" s="33">
        <v>12427</v>
      </c>
      <c r="P30" s="33">
        <f t="shared" si="38"/>
        <v>12018</v>
      </c>
      <c r="Q30" s="37">
        <f t="shared" si="39"/>
        <v>0.89701930293285304</v>
      </c>
      <c r="R30" s="37">
        <f t="shared" si="40"/>
        <v>5.5078815866697415E-3</v>
      </c>
      <c r="S30" s="38">
        <f t="shared" si="41"/>
        <v>0.1024134915819884</v>
      </c>
      <c r="T30" s="37">
        <f t="shared" si="42"/>
        <v>0.89207862683134187</v>
      </c>
      <c r="U30" s="8">
        <v>-999</v>
      </c>
      <c r="V30" s="10">
        <v>90191</v>
      </c>
      <c r="W30" s="10">
        <v>4011</v>
      </c>
      <c r="X30" s="3">
        <v>470289</v>
      </c>
      <c r="Y30" s="21">
        <v>5682.7</v>
      </c>
      <c r="Z30" s="18">
        <v>888.7</v>
      </c>
      <c r="AA30" s="22">
        <v>945.1</v>
      </c>
      <c r="AB30" s="22">
        <v>130440.3</v>
      </c>
      <c r="AC30" s="22">
        <v>5027.7</v>
      </c>
      <c r="AD30" s="22">
        <v>3216.1</v>
      </c>
      <c r="AE30" s="18">
        <v>830.2</v>
      </c>
      <c r="AF30" s="21">
        <v>1249.3</v>
      </c>
      <c r="AG30" s="3">
        <v>5212299</v>
      </c>
      <c r="AH30" s="3">
        <v>36107660</v>
      </c>
      <c r="AI30" s="3">
        <v>38974777</v>
      </c>
      <c r="AJ30" s="3">
        <v>904731</v>
      </c>
      <c r="AK30" s="3">
        <v>7406343</v>
      </c>
      <c r="AL30" s="3">
        <v>46381</v>
      </c>
      <c r="AM30" s="3">
        <v>160299</v>
      </c>
      <c r="AN30" s="3">
        <v>1264525</v>
      </c>
      <c r="AO30" s="3">
        <v>567167</v>
      </c>
      <c r="AP30" s="3">
        <v>218603</v>
      </c>
      <c r="AQ30" s="3">
        <v>185830</v>
      </c>
      <c r="AR30" s="10">
        <v>14176</v>
      </c>
      <c r="AS30" s="3">
        <v>41077</v>
      </c>
      <c r="AT30" s="3">
        <v>561486</v>
      </c>
      <c r="AU30" s="3">
        <v>768118</v>
      </c>
      <c r="AV30" s="3">
        <v>1985176</v>
      </c>
      <c r="AW30" s="3">
        <v>113877</v>
      </c>
      <c r="AX30" s="3">
        <v>62138</v>
      </c>
      <c r="AY30" s="3">
        <v>725930</v>
      </c>
      <c r="AZ30" s="3">
        <v>163390</v>
      </c>
      <c r="BA30" s="3">
        <v>86592</v>
      </c>
      <c r="BB30" s="3">
        <v>180096</v>
      </c>
      <c r="BC30" s="10">
        <v>20043</v>
      </c>
      <c r="BD30" s="3">
        <v>84351</v>
      </c>
      <c r="BE30" s="3">
        <v>58249</v>
      </c>
      <c r="BF30" s="3">
        <v>84703</v>
      </c>
      <c r="BG30" s="3">
        <v>88883</v>
      </c>
      <c r="BH30" s="3">
        <v>66194</v>
      </c>
      <c r="BI30" s="3">
        <v>66171</v>
      </c>
      <c r="BJ30" s="3">
        <v>257540</v>
      </c>
      <c r="BK30" s="3">
        <v>98476</v>
      </c>
      <c r="BL30" s="3">
        <v>54828</v>
      </c>
      <c r="BM30" s="3">
        <v>25258</v>
      </c>
      <c r="BN30" s="10">
        <v>5655</v>
      </c>
      <c r="BO30" s="12">
        <v>7844827</v>
      </c>
      <c r="BP30" s="3">
        <v>2579345</v>
      </c>
      <c r="BQ30" s="3">
        <v>171672</v>
      </c>
      <c r="BR30" s="3">
        <v>399164</v>
      </c>
      <c r="BS30" s="3">
        <v>93729</v>
      </c>
      <c r="BT30" s="3">
        <v>162550</v>
      </c>
      <c r="BU30" s="3">
        <v>8387</v>
      </c>
      <c r="BV30" s="3">
        <v>8827</v>
      </c>
      <c r="BW30" s="3">
        <v>24977</v>
      </c>
      <c r="BX30" s="3">
        <v>15036</v>
      </c>
      <c r="BY30" s="3">
        <v>17517</v>
      </c>
      <c r="BZ30" s="3">
        <v>6988</v>
      </c>
      <c r="CA30" s="3">
        <v>52828</v>
      </c>
      <c r="CB30" s="3">
        <v>14606</v>
      </c>
      <c r="CC30" s="10">
        <v>-999</v>
      </c>
      <c r="CD30" s="3">
        <v>9731188</v>
      </c>
      <c r="CE30" s="3">
        <v>1435067</v>
      </c>
      <c r="CF30" s="3">
        <v>391061</v>
      </c>
      <c r="CG30" s="3">
        <v>305282</v>
      </c>
      <c r="CH30" s="3">
        <v>355286</v>
      </c>
      <c r="CI30" s="3">
        <v>26227015</v>
      </c>
      <c r="CJ30" s="3">
        <v>103030</v>
      </c>
      <c r="CK30" s="3">
        <v>744289</v>
      </c>
      <c r="CL30" s="61">
        <v>275408</v>
      </c>
      <c r="CM30" s="53">
        <f>P30/(P30+N30)</f>
        <v>0.89701930293285304</v>
      </c>
      <c r="CN30" s="53">
        <f>L30/(L30+N30+P30)</f>
        <v>5.5078815866697415E-3</v>
      </c>
      <c r="CO30" s="2">
        <f t="shared" si="43"/>
        <v>3.6715538656740496</v>
      </c>
      <c r="CP30" s="52">
        <v>2</v>
      </c>
      <c r="CQ30" s="58">
        <v>1</v>
      </c>
      <c r="CR30" s="58">
        <v>0.55000000000000004</v>
      </c>
      <c r="CS30" s="58">
        <v>36.4</v>
      </c>
      <c r="CT30" s="58">
        <v>26</v>
      </c>
      <c r="CU30" s="58">
        <v>2</v>
      </c>
      <c r="CV30" s="58">
        <v>6</v>
      </c>
      <c r="CW30" s="58">
        <v>2</v>
      </c>
      <c r="CX30" s="73">
        <v>0.36932999999999999</v>
      </c>
      <c r="CY30" s="74">
        <v>0.75</v>
      </c>
      <c r="CZ30" s="58">
        <v>2</v>
      </c>
      <c r="DA30" s="75">
        <v>90</v>
      </c>
      <c r="DB30" s="74">
        <v>0.37270000000000003</v>
      </c>
      <c r="DC30" s="58">
        <v>0</v>
      </c>
      <c r="DD30" s="58">
        <v>1</v>
      </c>
      <c r="DE30" s="58">
        <v>2400</v>
      </c>
      <c r="DF30" s="1">
        <f t="shared" si="44"/>
        <v>4.1666666666666666E-3</v>
      </c>
      <c r="DG30" s="95">
        <v>20000</v>
      </c>
      <c r="DH30" s="9">
        <f t="shared" si="15"/>
        <v>0.36932999999999999</v>
      </c>
      <c r="DI30" s="1">
        <f t="shared" si="45"/>
        <v>0.25610447087260135</v>
      </c>
      <c r="DJ30" s="1">
        <v>1</v>
      </c>
      <c r="DK30" s="1">
        <f t="shared" si="46"/>
        <v>3.6715538656740496</v>
      </c>
      <c r="DL30" s="1">
        <f>S30*1166.6</f>
        <v>119.47557927954766</v>
      </c>
      <c r="DM30" s="1">
        <f>T30* 1833.1</f>
        <v>1635.2693308445328</v>
      </c>
      <c r="DN30" s="1">
        <v>0.25</v>
      </c>
      <c r="DO30" s="1">
        <f t="shared" si="47"/>
        <v>0.3154052852011377</v>
      </c>
      <c r="DP30" s="1">
        <f t="shared" si="48"/>
        <v>0.30657008400996039</v>
      </c>
      <c r="DQ30" s="1">
        <f t="shared" si="49"/>
        <v>5.6570084009960393</v>
      </c>
      <c r="DR30" s="82">
        <f t="shared" si="11"/>
        <v>7.9541780245182112</v>
      </c>
      <c r="DS30" s="82">
        <f t="shared" si="50"/>
        <v>0.16065433457838282</v>
      </c>
      <c r="DT30" s="2">
        <f t="shared" si="51"/>
        <v>0.37270000000000003</v>
      </c>
    </row>
    <row r="31" spans="1:124" ht="14.5" customHeight="1" x14ac:dyDescent="0.35">
      <c r="A31" s="65" t="s">
        <v>56</v>
      </c>
      <c r="B31" s="1">
        <v>1</v>
      </c>
      <c r="C31" s="6">
        <v>42335</v>
      </c>
      <c r="D31" s="7">
        <v>0.5</v>
      </c>
      <c r="E31" t="s">
        <v>285</v>
      </c>
      <c r="F31" t="s">
        <v>286</v>
      </c>
      <c r="G31" s="9" t="s">
        <v>95</v>
      </c>
      <c r="H31" s="9" t="s">
        <v>210</v>
      </c>
      <c r="I31" s="9" t="s">
        <v>67</v>
      </c>
      <c r="J31" s="9">
        <v>2</v>
      </c>
      <c r="K31" s="80">
        <v>26.628</v>
      </c>
      <c r="L31" s="80">
        <f t="shared" si="36"/>
        <v>24.726666666666667</v>
      </c>
      <c r="M31" s="81">
        <v>373.32</v>
      </c>
      <c r="N31" s="81">
        <f t="shared" si="37"/>
        <v>373.22499999999997</v>
      </c>
      <c r="O31" s="33">
        <v>1435</v>
      </c>
      <c r="P31" s="33">
        <f t="shared" si="38"/>
        <v>1026</v>
      </c>
      <c r="Q31" s="37">
        <f t="shared" si="39"/>
        <v>0.73326305633475675</v>
      </c>
      <c r="R31" s="37">
        <f t="shared" si="40"/>
        <v>1.7364821605602251E-2</v>
      </c>
      <c r="S31" s="38">
        <f t="shared" si="41"/>
        <v>0.2621051042228727</v>
      </c>
      <c r="T31" s="37">
        <f t="shared" si="42"/>
        <v>0.72053007417152504</v>
      </c>
      <c r="U31" s="8">
        <v>63.3</v>
      </c>
      <c r="V31" s="3">
        <v>56182</v>
      </c>
      <c r="W31" s="3">
        <v>931</v>
      </c>
      <c r="X31" s="3">
        <v>258331</v>
      </c>
      <c r="Y31" s="21">
        <v>1843.1</v>
      </c>
      <c r="Z31" s="18">
        <v>242.2</v>
      </c>
      <c r="AA31" s="21">
        <v>485.3</v>
      </c>
      <c r="AB31" s="21">
        <v>7026.4</v>
      </c>
      <c r="AC31" s="21">
        <v>289.8</v>
      </c>
      <c r="AD31" s="21">
        <v>-999</v>
      </c>
      <c r="AE31" s="18">
        <v>-999</v>
      </c>
      <c r="AF31" s="21">
        <v>-999</v>
      </c>
      <c r="AG31" s="3">
        <v>1608223</v>
      </c>
      <c r="AH31" s="3">
        <v>9810338</v>
      </c>
      <c r="AI31" s="3">
        <v>7681709</v>
      </c>
      <c r="AJ31" s="3">
        <v>328955</v>
      </c>
      <c r="AK31" s="3">
        <v>2416902</v>
      </c>
      <c r="AL31" s="3">
        <v>58170</v>
      </c>
      <c r="AM31" s="3">
        <v>117319</v>
      </c>
      <c r="AN31" s="3">
        <v>449788</v>
      </c>
      <c r="AO31" s="3">
        <v>184044</v>
      </c>
      <c r="AP31" s="3">
        <v>87043</v>
      </c>
      <c r="AQ31" s="3">
        <v>61665</v>
      </c>
      <c r="AR31" s="3">
        <v>8220</v>
      </c>
      <c r="AS31" s="3">
        <v>25613</v>
      </c>
      <c r="AT31" s="3">
        <v>649009</v>
      </c>
      <c r="AU31" s="3">
        <v>167870</v>
      </c>
      <c r="AV31" s="3">
        <v>496364</v>
      </c>
      <c r="AW31" s="3">
        <v>44386</v>
      </c>
      <c r="AX31" s="3">
        <v>20865</v>
      </c>
      <c r="AY31" s="3">
        <v>181202</v>
      </c>
      <c r="AZ31" s="3">
        <v>23806</v>
      </c>
      <c r="BA31" s="3">
        <v>27045</v>
      </c>
      <c r="BB31" s="3">
        <v>94118</v>
      </c>
      <c r="BC31" s="3">
        <v>90937</v>
      </c>
      <c r="BD31" s="3">
        <v>32973</v>
      </c>
      <c r="BE31" s="3">
        <v>23895</v>
      </c>
      <c r="BF31" s="3">
        <v>29278</v>
      </c>
      <c r="BG31" s="3">
        <v>28946</v>
      </c>
      <c r="BH31" s="3">
        <v>9560</v>
      </c>
      <c r="BI31" s="3">
        <v>32451</v>
      </c>
      <c r="BJ31" s="3">
        <v>133333</v>
      </c>
      <c r="BK31" s="3">
        <v>38300</v>
      </c>
      <c r="BL31" s="3">
        <v>15154</v>
      </c>
      <c r="BM31" s="3">
        <v>10594</v>
      </c>
      <c r="BN31" s="3">
        <v>1858</v>
      </c>
      <c r="BO31" s="12">
        <v>1131698</v>
      </c>
      <c r="BP31" s="3">
        <v>310953</v>
      </c>
      <c r="BQ31" s="3">
        <v>20821</v>
      </c>
      <c r="BR31" s="3">
        <v>30508</v>
      </c>
      <c r="BS31" s="3">
        <v>11111</v>
      </c>
      <c r="BT31" s="3">
        <v>12843</v>
      </c>
      <c r="BU31" s="3">
        <v>434</v>
      </c>
      <c r="BV31" s="3">
        <v>576</v>
      </c>
      <c r="BW31" s="3">
        <v>-999</v>
      </c>
      <c r="BX31" s="3">
        <v>-999</v>
      </c>
      <c r="BY31" s="3">
        <v>-999</v>
      </c>
      <c r="BZ31" s="3">
        <v>-999</v>
      </c>
      <c r="CA31" s="3">
        <v>-999</v>
      </c>
      <c r="CB31" s="3">
        <v>-999</v>
      </c>
      <c r="CC31" s="3">
        <v>-999</v>
      </c>
      <c r="CD31" s="3">
        <v>3594239</v>
      </c>
      <c r="CE31" s="3">
        <v>144725</v>
      </c>
      <c r="CF31" s="3">
        <v>21790</v>
      </c>
      <c r="CG31" s="3">
        <v>56306</v>
      </c>
      <c r="CH31" s="3">
        <v>1993</v>
      </c>
      <c r="CI31" s="3">
        <v>428279</v>
      </c>
      <c r="CJ31" s="3">
        <v>15527</v>
      </c>
      <c r="CK31" s="3">
        <v>353397</v>
      </c>
      <c r="CL31" s="61">
        <v>127648</v>
      </c>
      <c r="CM31" s="53">
        <f>P31/(P31+N31)</f>
        <v>0.73326305633475675</v>
      </c>
      <c r="CN31" s="53">
        <f>L31/(L31+N31+P31)</f>
        <v>1.7364821605602251E-2</v>
      </c>
      <c r="CO31" s="2">
        <f t="shared" si="43"/>
        <v>11.575390082294462</v>
      </c>
      <c r="CP31" s="52">
        <v>1</v>
      </c>
      <c r="CQ31" s="58">
        <v>1.4</v>
      </c>
      <c r="CR31" s="58">
        <v>1</v>
      </c>
      <c r="CS31" s="58">
        <v>27.4</v>
      </c>
      <c r="CT31" s="58">
        <v>32.5</v>
      </c>
      <c r="CU31" s="58">
        <v>2</v>
      </c>
      <c r="CV31" s="58">
        <v>1</v>
      </c>
      <c r="CW31" s="58">
        <v>1</v>
      </c>
      <c r="CX31" s="73">
        <v>0.19966999999999999</v>
      </c>
      <c r="CY31" s="74">
        <v>1</v>
      </c>
      <c r="CZ31" s="58">
        <v>2</v>
      </c>
      <c r="DA31" s="75">
        <v>95</v>
      </c>
      <c r="DB31" s="77">
        <v>0.79469999999999996</v>
      </c>
      <c r="DC31" s="78">
        <f>0</f>
        <v>0</v>
      </c>
      <c r="DD31" s="78">
        <v>1</v>
      </c>
      <c r="DE31" s="58">
        <v>300</v>
      </c>
      <c r="DF31" s="1">
        <f t="shared" si="44"/>
        <v>3.3333333333333333E-2</v>
      </c>
      <c r="DG31" s="95">
        <v>20000</v>
      </c>
      <c r="DH31" s="9">
        <f t="shared" si="15"/>
        <v>0.19966999999999999</v>
      </c>
      <c r="DI31" s="1">
        <f t="shared" si="45"/>
        <v>0.19083212872927063</v>
      </c>
      <c r="DJ31" s="1">
        <v>1</v>
      </c>
      <c r="DK31" s="1">
        <f t="shared" si="46"/>
        <v>11.575390082294462</v>
      </c>
      <c r="DL31" s="1">
        <f>S31*1166.6</f>
        <v>305.77181458640325</v>
      </c>
      <c r="DM31" s="1">
        <f>T31* 1833.1</f>
        <v>1320.8036789638224</v>
      </c>
      <c r="DN31" s="1">
        <f>CX31-DH31</f>
        <v>0</v>
      </c>
      <c r="DO31" s="1">
        <f t="shared" si="47"/>
        <v>1.6676847158867742</v>
      </c>
      <c r="DP31" s="1">
        <f t="shared" si="48"/>
        <v>4.4262389295985152E-2</v>
      </c>
      <c r="DQ31" s="1">
        <f t="shared" si="49"/>
        <v>4.4262389295985152</v>
      </c>
      <c r="DR31" s="82">
        <f t="shared" si="11"/>
        <v>101.10286180076757</v>
      </c>
      <c r="DS31" s="82">
        <f t="shared" si="50"/>
        <v>3.9177836028119278E-2</v>
      </c>
      <c r="DT31" s="2">
        <f t="shared" si="51"/>
        <v>0.79469999999999996</v>
      </c>
    </row>
    <row r="32" spans="1:124" ht="16.5" x14ac:dyDescent="0.35">
      <c r="A32" s="65" t="s">
        <v>38</v>
      </c>
      <c r="B32" s="1">
        <v>2</v>
      </c>
      <c r="C32" s="6">
        <v>42373</v>
      </c>
      <c r="D32" s="7">
        <v>0.125</v>
      </c>
      <c r="E32" t="s">
        <v>287</v>
      </c>
      <c r="F32" t="s">
        <v>288</v>
      </c>
      <c r="G32" s="9" t="s">
        <v>83</v>
      </c>
      <c r="H32" s="9" t="s">
        <v>174</v>
      </c>
      <c r="I32" s="9" t="s">
        <v>76</v>
      </c>
      <c r="J32" s="9">
        <v>2</v>
      </c>
      <c r="K32" s="80">
        <v>17.018999999999998</v>
      </c>
      <c r="L32" s="80">
        <f t="shared" si="36"/>
        <v>15.117666666666665</v>
      </c>
      <c r="M32" s="81">
        <v>329.15</v>
      </c>
      <c r="N32" s="81">
        <f t="shared" si="37"/>
        <v>329.05499999999995</v>
      </c>
      <c r="O32" s="33">
        <v>7176</v>
      </c>
      <c r="P32" s="33">
        <f t="shared" si="38"/>
        <v>6767</v>
      </c>
      <c r="Q32" s="37">
        <f t="shared" si="39"/>
        <v>0.95362845975686483</v>
      </c>
      <c r="R32" s="37">
        <f t="shared" si="40"/>
        <v>2.1259034726480645E-3</v>
      </c>
      <c r="S32" s="38">
        <f t="shared" si="41"/>
        <v>4.6272958824700165E-2</v>
      </c>
      <c r="T32" s="37">
        <f t="shared" si="42"/>
        <v>0.95160113770265164</v>
      </c>
      <c r="U32" s="8">
        <v>36.799999999999997</v>
      </c>
      <c r="V32" s="10">
        <v>80033</v>
      </c>
      <c r="W32" s="10">
        <v>4990</v>
      </c>
      <c r="X32" s="3">
        <v>194999</v>
      </c>
      <c r="Y32" s="21">
        <v>1878.8</v>
      </c>
      <c r="Z32" s="18">
        <v>717</v>
      </c>
      <c r="AA32" s="22">
        <v>323.39999999999998</v>
      </c>
      <c r="AB32" s="22">
        <v>61668.6</v>
      </c>
      <c r="AC32" s="22">
        <v>2769.4</v>
      </c>
      <c r="AD32" s="22">
        <v>2140.6999999999998</v>
      </c>
      <c r="AE32" s="18">
        <v>382.9</v>
      </c>
      <c r="AF32" s="21">
        <v>758.4</v>
      </c>
      <c r="AG32" s="3">
        <v>1787830</v>
      </c>
      <c r="AH32" s="3">
        <v>10229268</v>
      </c>
      <c r="AI32" s="3">
        <v>4065033</v>
      </c>
      <c r="AJ32" s="3">
        <v>370709</v>
      </c>
      <c r="AK32" s="3">
        <v>2407910</v>
      </c>
      <c r="AL32" s="3">
        <v>25793</v>
      </c>
      <c r="AM32" s="3">
        <v>81344</v>
      </c>
      <c r="AN32" s="3">
        <v>432802</v>
      </c>
      <c r="AO32" s="3">
        <v>240059</v>
      </c>
      <c r="AP32" s="3">
        <v>80822</v>
      </c>
      <c r="AQ32" s="3">
        <v>61615</v>
      </c>
      <c r="AR32" s="3">
        <v>9645</v>
      </c>
      <c r="AS32" s="3">
        <v>25973</v>
      </c>
      <c r="AT32" s="3">
        <v>123456</v>
      </c>
      <c r="AU32" s="3">
        <v>92595</v>
      </c>
      <c r="AV32" s="3">
        <v>270315</v>
      </c>
      <c r="AW32" s="3">
        <v>21161</v>
      </c>
      <c r="AX32" s="3">
        <v>12304</v>
      </c>
      <c r="AY32" s="3">
        <v>53634</v>
      </c>
      <c r="AZ32" s="3">
        <v>3976</v>
      </c>
      <c r="BA32" s="3">
        <v>13228</v>
      </c>
      <c r="BB32" s="3">
        <v>97583</v>
      </c>
      <c r="BC32" s="3">
        <v>4082</v>
      </c>
      <c r="BD32" s="3">
        <v>28549</v>
      </c>
      <c r="BE32" s="3">
        <v>16817</v>
      </c>
      <c r="BF32" s="3">
        <v>33156</v>
      </c>
      <c r="BG32" s="3">
        <v>34450</v>
      </c>
      <c r="BH32" s="3">
        <v>30573</v>
      </c>
      <c r="BI32" s="3">
        <v>49674</v>
      </c>
      <c r="BJ32" s="3">
        <v>141967</v>
      </c>
      <c r="BK32" s="3">
        <v>53563</v>
      </c>
      <c r="BL32" s="3">
        <v>29503</v>
      </c>
      <c r="BM32" s="3">
        <v>15387</v>
      </c>
      <c r="BN32" s="10">
        <v>6375</v>
      </c>
      <c r="BO32" s="12">
        <v>967702</v>
      </c>
      <c r="BP32" s="3">
        <v>490066</v>
      </c>
      <c r="BQ32" s="3">
        <v>39567</v>
      </c>
      <c r="BR32" s="3">
        <v>81991</v>
      </c>
      <c r="BS32" s="3">
        <v>39057</v>
      </c>
      <c r="BT32" s="3">
        <v>31379</v>
      </c>
      <c r="BU32" s="3">
        <v>3261</v>
      </c>
      <c r="BV32" s="3">
        <v>5765</v>
      </c>
      <c r="BW32" s="3">
        <v>13855</v>
      </c>
      <c r="BX32" s="3">
        <v>5666</v>
      </c>
      <c r="BY32" s="3">
        <v>6644</v>
      </c>
      <c r="BZ32" s="3">
        <v>4363</v>
      </c>
      <c r="CA32" s="3">
        <v>22620</v>
      </c>
      <c r="CB32" s="3">
        <v>9765</v>
      </c>
      <c r="CC32" s="10">
        <v>487</v>
      </c>
      <c r="CD32" s="3">
        <v>5426862</v>
      </c>
      <c r="CE32" s="3">
        <v>920346</v>
      </c>
      <c r="CF32" s="3">
        <v>337717</v>
      </c>
      <c r="CG32" s="3">
        <v>323117</v>
      </c>
      <c r="CH32" s="3">
        <v>463759</v>
      </c>
      <c r="CI32" s="3">
        <v>14219486</v>
      </c>
      <c r="CJ32" s="3">
        <v>88352</v>
      </c>
      <c r="CK32" s="3">
        <v>234520</v>
      </c>
      <c r="CL32" s="61">
        <v>104672</v>
      </c>
      <c r="CM32" s="53">
        <f>P32/(P32+N32)</f>
        <v>0.95362845975686483</v>
      </c>
      <c r="CN32" s="53">
        <f>L32/(L32+N32+P32)</f>
        <v>2.1259034726480645E-3</v>
      </c>
      <c r="CO32" s="2">
        <f t="shared" si="43"/>
        <v>1.4171272548671998</v>
      </c>
      <c r="CP32" s="52">
        <v>2</v>
      </c>
      <c r="CQ32" s="1">
        <v>0.6</v>
      </c>
      <c r="CR32" s="1">
        <v>0.83</v>
      </c>
      <c r="CS32" s="1">
        <v>21.5</v>
      </c>
      <c r="CT32" s="1">
        <v>30.2</v>
      </c>
      <c r="CU32" s="1">
        <v>2</v>
      </c>
      <c r="CV32" s="1">
        <v>6</v>
      </c>
      <c r="CW32" s="1">
        <v>2</v>
      </c>
      <c r="CX32" s="1">
        <v>0.43033000000000005</v>
      </c>
      <c r="CY32" s="1">
        <v>1.5</v>
      </c>
      <c r="CZ32" s="1">
        <v>2</v>
      </c>
      <c r="DA32" s="1">
        <v>98</v>
      </c>
      <c r="DB32" s="1">
        <v>0.88849999999999996</v>
      </c>
      <c r="DC32" s="1">
        <v>1</v>
      </c>
      <c r="DD32" s="1">
        <v>0</v>
      </c>
      <c r="DE32" s="1">
        <v>810</v>
      </c>
      <c r="DF32" s="1">
        <f t="shared" si="44"/>
        <v>1.2345679012345678E-2</v>
      </c>
      <c r="DG32" s="92">
        <v>20000</v>
      </c>
      <c r="DH32" s="9">
        <f t="shared" si="15"/>
        <v>0.43033000000000005</v>
      </c>
      <c r="DI32" s="1">
        <f t="shared" si="45"/>
        <v>0.41223569106018076</v>
      </c>
      <c r="DJ32" s="1">
        <v>1</v>
      </c>
      <c r="DK32" s="1">
        <f t="shared" si="46"/>
        <v>1.4171272548671998</v>
      </c>
      <c r="DL32" s="1">
        <f>S32*1166.6</f>
        <v>53.982033764895206</v>
      </c>
      <c r="DM32" s="1">
        <f>T32* 1833.1</f>
        <v>1744.3800455227306</v>
      </c>
      <c r="DN32" s="1">
        <f>CX32-DH32</f>
        <v>0</v>
      </c>
      <c r="DO32" s="1">
        <f t="shared" si="47"/>
        <v>0.50867213592670346</v>
      </c>
      <c r="DP32" s="1">
        <f t="shared" si="48"/>
        <v>4.2047519205770705E-2</v>
      </c>
      <c r="DQ32" s="1">
        <f t="shared" si="49"/>
        <v>4.2047519205770705</v>
      </c>
      <c r="DR32" s="82">
        <f t="shared" si="11"/>
        <v>90.437385557276684</v>
      </c>
      <c r="DS32" s="82">
        <f t="shared" si="50"/>
        <v>4.5964279553210197E-2</v>
      </c>
      <c r="DT32" s="2">
        <f t="shared" si="51"/>
        <v>0.88849999999999985</v>
      </c>
    </row>
    <row r="33" spans="1:124" ht="16.5" x14ac:dyDescent="0.35">
      <c r="A33" s="65" t="s">
        <v>45</v>
      </c>
      <c r="B33" s="1">
        <v>2</v>
      </c>
      <c r="C33" s="6">
        <v>42373</v>
      </c>
      <c r="D33" s="7">
        <v>0.66666666666666663</v>
      </c>
      <c r="E33" t="s">
        <v>289</v>
      </c>
      <c r="F33" t="s">
        <v>290</v>
      </c>
      <c r="G33" s="9" t="s">
        <v>83</v>
      </c>
      <c r="H33" s="9" t="s">
        <v>175</v>
      </c>
      <c r="I33" s="9" t="s">
        <v>73</v>
      </c>
      <c r="J33" s="9">
        <v>2</v>
      </c>
      <c r="K33" s="80">
        <v>173.851</v>
      </c>
      <c r="L33" s="80">
        <f t="shared" si="36"/>
        <v>171.94966666666667</v>
      </c>
      <c r="M33" s="81">
        <v>2193.58</v>
      </c>
      <c r="N33" s="81">
        <f t="shared" si="37"/>
        <v>2193.4850000000001</v>
      </c>
      <c r="O33" s="33">
        <v>17771</v>
      </c>
      <c r="P33" s="33">
        <f t="shared" si="38"/>
        <v>17362</v>
      </c>
      <c r="Q33" s="37">
        <f t="shared" si="39"/>
        <v>0.88783274871474671</v>
      </c>
      <c r="R33" s="37">
        <f t="shared" si="40"/>
        <v>8.7162709988445192E-3</v>
      </c>
      <c r="S33" s="38">
        <f t="shared" si="41"/>
        <v>0.11118957112585545</v>
      </c>
      <c r="T33" s="37">
        <f t="shared" si="42"/>
        <v>0.88009415787529999</v>
      </c>
      <c r="U33" s="8">
        <v>188</v>
      </c>
      <c r="V33" s="10">
        <v>187080</v>
      </c>
      <c r="W33" s="10">
        <v>5590</v>
      </c>
      <c r="X33" s="3">
        <v>1619670</v>
      </c>
      <c r="Y33" s="21">
        <v>6259.5</v>
      </c>
      <c r="Z33" s="18">
        <v>1008.5</v>
      </c>
      <c r="AA33" s="22">
        <v>2110.8000000000002</v>
      </c>
      <c r="AB33" s="22">
        <v>350447.3</v>
      </c>
      <c r="AC33" s="22">
        <v>16067.7</v>
      </c>
      <c r="AD33" s="22">
        <v>6403.5</v>
      </c>
      <c r="AE33" s="18">
        <v>1533.7</v>
      </c>
      <c r="AF33" s="21">
        <v>3381.5</v>
      </c>
      <c r="AG33" s="3">
        <v>9290121</v>
      </c>
      <c r="AH33" s="3">
        <v>87983352</v>
      </c>
      <c r="AI33" s="3">
        <v>161434669</v>
      </c>
      <c r="AJ33" s="3">
        <v>1248023</v>
      </c>
      <c r="AK33" s="3">
        <v>13306152</v>
      </c>
      <c r="AL33" s="3">
        <v>55900</v>
      </c>
      <c r="AM33" s="3">
        <v>182942</v>
      </c>
      <c r="AN33" s="3">
        <v>1935389</v>
      </c>
      <c r="AO33" s="3">
        <v>847794</v>
      </c>
      <c r="AP33" s="3">
        <v>296914</v>
      </c>
      <c r="AQ33" s="3">
        <v>259073</v>
      </c>
      <c r="AR33" s="10">
        <v>17318</v>
      </c>
      <c r="AS33" s="3">
        <v>48072</v>
      </c>
      <c r="AT33" s="3">
        <v>921015</v>
      </c>
      <c r="AU33" s="3">
        <v>2421043</v>
      </c>
      <c r="AV33" s="3">
        <v>5314518</v>
      </c>
      <c r="AW33" s="3">
        <v>228134</v>
      </c>
      <c r="AX33" s="3">
        <v>101544</v>
      </c>
      <c r="AY33" s="3">
        <v>2371994</v>
      </c>
      <c r="AZ33" s="3">
        <v>1217429</v>
      </c>
      <c r="BA33" s="3">
        <v>179333</v>
      </c>
      <c r="BB33" s="3">
        <v>246543</v>
      </c>
      <c r="BC33" s="10">
        <v>23131</v>
      </c>
      <c r="BD33" s="3">
        <v>112407</v>
      </c>
      <c r="BE33" s="3">
        <v>75331</v>
      </c>
      <c r="BF33" s="3">
        <v>115877</v>
      </c>
      <c r="BG33" s="3">
        <v>105660</v>
      </c>
      <c r="BH33" s="3">
        <v>87186</v>
      </c>
      <c r="BI33" s="3">
        <v>81321</v>
      </c>
      <c r="BJ33" s="3">
        <v>367799</v>
      </c>
      <c r="BK33" s="3">
        <v>115894</v>
      </c>
      <c r="BL33" s="3">
        <v>66868</v>
      </c>
      <c r="BM33" s="3">
        <v>24103</v>
      </c>
      <c r="BN33" s="10">
        <v>8612</v>
      </c>
      <c r="BO33" s="12">
        <v>24512631</v>
      </c>
      <c r="BP33" s="3">
        <v>6326767</v>
      </c>
      <c r="BQ33" s="3">
        <v>307659</v>
      </c>
      <c r="BR33" s="3">
        <v>1076180</v>
      </c>
      <c r="BS33" s="3">
        <v>154928</v>
      </c>
      <c r="BT33" s="3">
        <v>386804</v>
      </c>
      <c r="BU33" s="3">
        <v>10030</v>
      </c>
      <c r="BV33" s="3">
        <v>8946</v>
      </c>
      <c r="BW33" s="3">
        <v>27575</v>
      </c>
      <c r="BX33" s="3">
        <v>17737</v>
      </c>
      <c r="BY33" s="3">
        <v>17042</v>
      </c>
      <c r="BZ33" s="3">
        <v>6276</v>
      </c>
      <c r="CA33" s="3">
        <v>42545</v>
      </c>
      <c r="CB33" s="3">
        <v>13510</v>
      </c>
      <c r="CC33" s="10">
        <v>-999</v>
      </c>
      <c r="CD33" s="3">
        <v>11756901</v>
      </c>
      <c r="CE33" s="3">
        <v>1495635</v>
      </c>
      <c r="CF33" s="3">
        <v>317142</v>
      </c>
      <c r="CG33" s="3">
        <v>291491</v>
      </c>
      <c r="CH33" s="3">
        <v>495058</v>
      </c>
      <c r="CI33" s="3">
        <v>9884665</v>
      </c>
      <c r="CJ33" s="3">
        <v>200324</v>
      </c>
      <c r="CK33" s="3">
        <v>839941</v>
      </c>
      <c r="CL33" s="61">
        <v>235705</v>
      </c>
      <c r="CM33" s="53">
        <f>P33/(P33+N33)</f>
        <v>0.88783274871474671</v>
      </c>
      <c r="CN33" s="53">
        <f>L33/(L33+N33+P33)</f>
        <v>8.7162709988445192E-3</v>
      </c>
      <c r="CO33" s="2">
        <f t="shared" si="43"/>
        <v>5.8102662478297571</v>
      </c>
      <c r="CP33" s="52">
        <v>2</v>
      </c>
      <c r="CQ33" s="1">
        <v>1.3</v>
      </c>
      <c r="CR33" s="1">
        <v>0.63</v>
      </c>
      <c r="CS33" s="1">
        <v>20.9</v>
      </c>
      <c r="CT33" s="1">
        <v>29.1</v>
      </c>
      <c r="CU33" s="1">
        <v>2</v>
      </c>
      <c r="CV33" s="1">
        <v>5</v>
      </c>
      <c r="CW33" s="1">
        <v>2</v>
      </c>
      <c r="CX33" s="1">
        <v>0.42199999999999999</v>
      </c>
      <c r="CY33" s="1">
        <v>2</v>
      </c>
      <c r="CZ33" s="1">
        <v>2</v>
      </c>
      <c r="DA33" s="1">
        <v>95</v>
      </c>
      <c r="DB33" s="1">
        <v>0.91709999999999992</v>
      </c>
      <c r="DC33" s="1">
        <v>1</v>
      </c>
      <c r="DD33" s="1">
        <v>0</v>
      </c>
      <c r="DE33" s="1">
        <v>420</v>
      </c>
      <c r="DF33" s="1">
        <f t="shared" si="44"/>
        <v>2.3809523809523808E-2</v>
      </c>
      <c r="DG33" s="92">
        <v>20000</v>
      </c>
      <c r="DH33" s="9">
        <f t="shared" si="15"/>
        <v>0.42199999999999999</v>
      </c>
      <c r="DI33" s="1">
        <f t="shared" si="45"/>
        <v>0.40409022685104196</v>
      </c>
      <c r="DJ33" s="1">
        <v>1</v>
      </c>
      <c r="DK33" s="1">
        <f t="shared" si="46"/>
        <v>5.8102662478297571</v>
      </c>
      <c r="DL33" s="1">
        <f>S33*1166.6</f>
        <v>129.71375367542296</v>
      </c>
      <c r="DM33" s="1">
        <f>T33* 1833.1</f>
        <v>1613.3006008012123</v>
      </c>
      <c r="DN33" s="1">
        <f>CX33-DH33</f>
        <v>0</v>
      </c>
      <c r="DO33" s="1">
        <f t="shared" si="47"/>
        <v>2.0455715717495737</v>
      </c>
      <c r="DP33" s="1">
        <f t="shared" si="48"/>
        <v>4.2440220732128012E-2</v>
      </c>
      <c r="DQ33" s="1">
        <f t="shared" si="49"/>
        <v>4.2440220732128013</v>
      </c>
      <c r="DR33" s="82">
        <f t="shared" si="11"/>
        <v>176.47197478337642</v>
      </c>
      <c r="DS33" s="82">
        <f t="shared" si="50"/>
        <v>3.3499079805951404E-2</v>
      </c>
      <c r="DT33" s="2">
        <f t="shared" si="51"/>
        <v>0.91709999999999992</v>
      </c>
    </row>
    <row r="34" spans="1:124" ht="16.5" x14ac:dyDescent="0.35">
      <c r="A34" s="65" t="s">
        <v>22</v>
      </c>
      <c r="B34" s="1">
        <v>2</v>
      </c>
      <c r="C34" s="6">
        <v>42375</v>
      </c>
      <c r="D34" s="7">
        <v>0.46527777777777773</v>
      </c>
      <c r="E34" t="s">
        <v>291</v>
      </c>
      <c r="F34" t="s">
        <v>290</v>
      </c>
      <c r="G34" s="9" t="s">
        <v>83</v>
      </c>
      <c r="H34" s="9" t="s">
        <v>176</v>
      </c>
      <c r="I34" s="9" t="s">
        <v>69</v>
      </c>
      <c r="J34" s="9">
        <v>2</v>
      </c>
      <c r="K34" s="80">
        <v>24.419</v>
      </c>
      <c r="L34" s="80">
        <f t="shared" si="36"/>
        <v>22.517666666666667</v>
      </c>
      <c r="M34" s="81">
        <v>285.69</v>
      </c>
      <c r="N34" s="81">
        <f t="shared" si="37"/>
        <v>285.59499999999997</v>
      </c>
      <c r="O34" s="33">
        <v>3263</v>
      </c>
      <c r="P34" s="33">
        <f t="shared" si="38"/>
        <v>2854</v>
      </c>
      <c r="Q34" s="37">
        <f t="shared" si="39"/>
        <v>0.90903444552561719</v>
      </c>
      <c r="R34" s="37">
        <f t="shared" si="40"/>
        <v>7.1210829721648121E-3</v>
      </c>
      <c r="S34" s="38">
        <f t="shared" si="41"/>
        <v>9.0317781213361772E-2</v>
      </c>
      <c r="T34" s="37">
        <f t="shared" si="42"/>
        <v>0.9025611358144735</v>
      </c>
      <c r="U34" s="8">
        <v>77</v>
      </c>
      <c r="V34" s="10">
        <v>21655</v>
      </c>
      <c r="W34" s="10">
        <v>164</v>
      </c>
      <c r="X34" s="3">
        <v>13474</v>
      </c>
      <c r="Y34" s="21">
        <v>195.9</v>
      </c>
      <c r="Z34" s="18">
        <v>30.6</v>
      </c>
      <c r="AA34" s="22">
        <v>415.8</v>
      </c>
      <c r="AB34" s="22">
        <v>10037.5</v>
      </c>
      <c r="AC34" s="22">
        <v>5386.1</v>
      </c>
      <c r="AD34" s="22">
        <v>1108</v>
      </c>
      <c r="AE34" s="18">
        <v>642.70000000000005</v>
      </c>
      <c r="AF34" s="21">
        <v>899.4</v>
      </c>
      <c r="AG34" s="3">
        <v>761143</v>
      </c>
      <c r="AH34" s="3">
        <v>8917176</v>
      </c>
      <c r="AI34" s="20">
        <v>16999999</v>
      </c>
      <c r="AJ34" s="3">
        <v>66036</v>
      </c>
      <c r="AK34" s="3">
        <v>791418</v>
      </c>
      <c r="AL34" s="3">
        <v>7415</v>
      </c>
      <c r="AM34" s="3">
        <v>11567</v>
      </c>
      <c r="AN34" s="3">
        <v>96083</v>
      </c>
      <c r="AO34" s="3">
        <v>36423</v>
      </c>
      <c r="AP34" s="3">
        <v>16967</v>
      </c>
      <c r="AQ34" s="3">
        <v>10842</v>
      </c>
      <c r="AR34" s="3">
        <v>49416</v>
      </c>
      <c r="AS34" s="3">
        <v>11486</v>
      </c>
      <c r="AT34" s="3">
        <v>257837</v>
      </c>
      <c r="AU34" s="3">
        <v>178919</v>
      </c>
      <c r="AV34" s="3">
        <v>419008</v>
      </c>
      <c r="AW34" s="3">
        <v>14699</v>
      </c>
      <c r="AX34" s="3">
        <v>7176</v>
      </c>
      <c r="AY34" s="3">
        <v>194072</v>
      </c>
      <c r="AZ34" s="3">
        <v>73273</v>
      </c>
      <c r="BA34" s="3">
        <v>12841</v>
      </c>
      <c r="BB34" s="3">
        <v>7552</v>
      </c>
      <c r="BC34" s="3">
        <v>21036</v>
      </c>
      <c r="BD34" s="3">
        <v>6072</v>
      </c>
      <c r="BE34" s="3">
        <v>4167</v>
      </c>
      <c r="BF34" s="3">
        <v>4412</v>
      </c>
      <c r="BG34" s="3">
        <v>4138</v>
      </c>
      <c r="BH34" s="3">
        <v>4456</v>
      </c>
      <c r="BI34" s="3">
        <v>3641</v>
      </c>
      <c r="BJ34" s="3">
        <v>9224</v>
      </c>
      <c r="BK34" s="3">
        <v>3430</v>
      </c>
      <c r="BL34" s="3">
        <v>2361</v>
      </c>
      <c r="BM34" s="3">
        <v>3064</v>
      </c>
      <c r="BN34" s="10">
        <v>3562</v>
      </c>
      <c r="BO34" s="12">
        <v>2044363</v>
      </c>
      <c r="BP34" s="3">
        <v>335479</v>
      </c>
      <c r="BQ34" s="3">
        <v>15842</v>
      </c>
      <c r="BR34" s="3">
        <v>99168</v>
      </c>
      <c r="BS34" s="3">
        <v>6759</v>
      </c>
      <c r="BT34" s="3">
        <v>81508</v>
      </c>
      <c r="BU34" s="3">
        <v>636</v>
      </c>
      <c r="BV34" s="3">
        <v>469</v>
      </c>
      <c r="BW34" s="3">
        <v>2561</v>
      </c>
      <c r="BX34" s="3">
        <v>923</v>
      </c>
      <c r="BY34" s="3">
        <v>1289</v>
      </c>
      <c r="BZ34" s="3">
        <v>321</v>
      </c>
      <c r="CA34" s="3">
        <v>7746</v>
      </c>
      <c r="CB34" s="3">
        <v>-999</v>
      </c>
      <c r="CC34" s="10">
        <v>1018</v>
      </c>
      <c r="CD34" s="10">
        <v>1315475</v>
      </c>
      <c r="CE34" s="10">
        <v>155437</v>
      </c>
      <c r="CF34" s="10">
        <v>42513</v>
      </c>
      <c r="CG34" s="10">
        <v>32403</v>
      </c>
      <c r="CH34" s="10">
        <v>22881</v>
      </c>
      <c r="CI34" s="10">
        <v>1581765</v>
      </c>
      <c r="CJ34" s="10">
        <v>184149</v>
      </c>
      <c r="CK34" s="3">
        <v>45755</v>
      </c>
      <c r="CL34" s="61">
        <v>12959</v>
      </c>
      <c r="CM34" s="53">
        <f>P34/(P34+N34)</f>
        <v>0.90903444552561719</v>
      </c>
      <c r="CN34" s="53">
        <f>L34/(L34+N34+P34)</f>
        <v>7.1210829721648121E-3</v>
      </c>
      <c r="CO34" s="2">
        <f t="shared" si="43"/>
        <v>4.7469139092450643</v>
      </c>
      <c r="CP34" s="52">
        <v>2</v>
      </c>
      <c r="CQ34" s="1">
        <v>1.3</v>
      </c>
      <c r="CR34" s="1">
        <v>0.67</v>
      </c>
      <c r="CS34" s="1">
        <v>67</v>
      </c>
      <c r="CT34" s="1">
        <v>24.4</v>
      </c>
      <c r="CU34" s="1">
        <v>2</v>
      </c>
      <c r="CV34" s="1">
        <v>5</v>
      </c>
      <c r="CW34" s="1">
        <v>2</v>
      </c>
      <c r="CX34" s="1">
        <v>0.57899999999999996</v>
      </c>
      <c r="CY34" s="1">
        <v>0.5</v>
      </c>
      <c r="CZ34" s="1">
        <v>2</v>
      </c>
      <c r="DA34" s="1">
        <v>70</v>
      </c>
      <c r="DB34" s="1">
        <v>0.91900000000000004</v>
      </c>
      <c r="DC34" s="1">
        <v>1</v>
      </c>
      <c r="DD34" s="1">
        <v>0</v>
      </c>
      <c r="DE34" s="1">
        <v>480</v>
      </c>
      <c r="DF34" s="1">
        <f t="shared" si="44"/>
        <v>2.0833333333333332E-2</v>
      </c>
      <c r="DG34" s="92">
        <v>20000</v>
      </c>
      <c r="DH34" s="9">
        <f t="shared" si="15"/>
        <v>0.57899999999999996</v>
      </c>
      <c r="DI34" s="1">
        <f t="shared" si="45"/>
        <v>0.51827156980029487</v>
      </c>
      <c r="DJ34" s="1">
        <v>1</v>
      </c>
      <c r="DK34" s="1">
        <f t="shared" si="46"/>
        <v>4.7469139092450643</v>
      </c>
      <c r="DL34" s="1">
        <f>S34*1166.6</f>
        <v>105.36472356350784</v>
      </c>
      <c r="DM34" s="1">
        <f>T34* 1833.1</f>
        <v>1654.4848180615113</v>
      </c>
      <c r="DN34" s="1">
        <f>CX34-DH34</f>
        <v>0</v>
      </c>
      <c r="DO34" s="1">
        <f t="shared" si="47"/>
        <v>1.5826405637362173</v>
      </c>
      <c r="DP34" s="1">
        <f t="shared" si="48"/>
        <v>0.10488502625164953</v>
      </c>
      <c r="DQ34" s="1">
        <f t="shared" si="49"/>
        <v>10.488502625164953</v>
      </c>
      <c r="DR34" s="82">
        <f t="shared" si="11"/>
        <v>198.45482193602959</v>
      </c>
      <c r="DS34" s="82">
        <f t="shared" si="50"/>
        <v>4.1979997153823889E-2</v>
      </c>
      <c r="DT34" s="2">
        <f t="shared" si="51"/>
        <v>0.91900000000000004</v>
      </c>
    </row>
    <row r="35" spans="1:124" ht="14.5" customHeight="1" x14ac:dyDescent="0.35">
      <c r="A35" s="76" t="s">
        <v>17</v>
      </c>
      <c r="B35" s="1">
        <v>1</v>
      </c>
      <c r="C35" s="6">
        <v>42336</v>
      </c>
      <c r="D35" s="7">
        <v>0.10416666666666667</v>
      </c>
      <c r="E35" t="s">
        <v>292</v>
      </c>
      <c r="F35" t="s">
        <v>293</v>
      </c>
      <c r="G35" s="9" t="s">
        <v>83</v>
      </c>
      <c r="H35" s="9" t="s">
        <v>211</v>
      </c>
      <c r="I35" s="9" t="s">
        <v>67</v>
      </c>
      <c r="J35" s="9">
        <v>2</v>
      </c>
      <c r="K35" s="80">
        <v>43.295999999999999</v>
      </c>
      <c r="L35" s="80">
        <f t="shared" si="36"/>
        <v>41.394666666666666</v>
      </c>
      <c r="M35" s="81">
        <v>459.75</v>
      </c>
      <c r="N35" s="81">
        <f t="shared" si="37"/>
        <v>459.65499999999997</v>
      </c>
      <c r="O35" s="33">
        <v>3900</v>
      </c>
      <c r="P35" s="33">
        <f t="shared" si="38"/>
        <v>3491</v>
      </c>
      <c r="Q35" s="37">
        <f t="shared" si="39"/>
        <v>0.88365093889494284</v>
      </c>
      <c r="R35" s="37">
        <f t="shared" si="40"/>
        <v>1.0369276467752696E-2</v>
      </c>
      <c r="S35" s="38">
        <f t="shared" si="41"/>
        <v>0.11514260552369546</v>
      </c>
      <c r="T35" s="37">
        <f t="shared" si="42"/>
        <v>0.87448811800855186</v>
      </c>
      <c r="U35" s="8">
        <v>82.6</v>
      </c>
      <c r="V35" s="3">
        <v>58038</v>
      </c>
      <c r="W35" s="3">
        <v>867</v>
      </c>
      <c r="X35" s="3">
        <v>685435</v>
      </c>
      <c r="Y35" s="21">
        <v>2282.8000000000002</v>
      </c>
      <c r="Z35" s="18">
        <v>469.9</v>
      </c>
      <c r="AA35" s="21">
        <v>950.3</v>
      </c>
      <c r="AB35" s="21">
        <v>1252</v>
      </c>
      <c r="AC35" s="21">
        <v>112.1</v>
      </c>
      <c r="AD35" s="21">
        <v>-999</v>
      </c>
      <c r="AE35" s="18">
        <v>53.1</v>
      </c>
      <c r="AF35" s="21">
        <v>-999</v>
      </c>
      <c r="AG35" s="3">
        <v>2568902</v>
      </c>
      <c r="AH35" s="3">
        <v>13842832</v>
      </c>
      <c r="AI35" s="3">
        <v>8195066</v>
      </c>
      <c r="AJ35" s="3">
        <v>572667</v>
      </c>
      <c r="AK35" s="3">
        <v>4199478</v>
      </c>
      <c r="AL35" s="3">
        <v>37004</v>
      </c>
      <c r="AM35" s="3">
        <v>117876</v>
      </c>
      <c r="AN35" s="3">
        <v>782813</v>
      </c>
      <c r="AO35" s="3">
        <v>389343</v>
      </c>
      <c r="AP35" s="3">
        <v>156120</v>
      </c>
      <c r="AQ35" s="3">
        <v>114802</v>
      </c>
      <c r="AR35" s="3">
        <v>14547</v>
      </c>
      <c r="AS35" s="3">
        <v>54110</v>
      </c>
      <c r="AT35" s="3">
        <v>1016703</v>
      </c>
      <c r="AU35" s="3">
        <v>206890</v>
      </c>
      <c r="AV35" s="3">
        <v>653211</v>
      </c>
      <c r="AW35" s="3">
        <v>54823</v>
      </c>
      <c r="AX35" s="3">
        <v>31298</v>
      </c>
      <c r="AY35" s="3">
        <v>179800</v>
      </c>
      <c r="AZ35" s="3">
        <v>10091</v>
      </c>
      <c r="BA35" s="3">
        <v>37567</v>
      </c>
      <c r="BB35" s="3">
        <v>154163</v>
      </c>
      <c r="BC35" s="3">
        <v>315388</v>
      </c>
      <c r="BD35" s="3">
        <v>63737</v>
      </c>
      <c r="BE35" s="3">
        <v>44286</v>
      </c>
      <c r="BF35" s="3">
        <v>62949</v>
      </c>
      <c r="BG35" s="3">
        <v>64075</v>
      </c>
      <c r="BH35" s="3">
        <v>44880</v>
      </c>
      <c r="BI35" s="3">
        <v>62356</v>
      </c>
      <c r="BJ35" s="3">
        <v>229663</v>
      </c>
      <c r="BK35" s="3">
        <v>87250</v>
      </c>
      <c r="BL35" s="3">
        <v>37856</v>
      </c>
      <c r="BM35" s="3">
        <v>18252</v>
      </c>
      <c r="BN35" s="3">
        <v>3513</v>
      </c>
      <c r="BO35" s="12">
        <v>1774931</v>
      </c>
      <c r="BP35" s="3">
        <v>590887</v>
      </c>
      <c r="BQ35" s="3">
        <v>45905</v>
      </c>
      <c r="BR35" s="3">
        <v>73592</v>
      </c>
      <c r="BS35" s="3">
        <v>29467</v>
      </c>
      <c r="BT35" s="3">
        <v>39845</v>
      </c>
      <c r="BU35" s="3">
        <v>1407</v>
      </c>
      <c r="BV35" s="3">
        <v>1459</v>
      </c>
      <c r="BW35" s="3">
        <v>4060</v>
      </c>
      <c r="BX35" s="3">
        <v>3478</v>
      </c>
      <c r="BY35" s="3">
        <v>1761</v>
      </c>
      <c r="BZ35" s="3">
        <v>1399</v>
      </c>
      <c r="CA35" s="3">
        <v>9300</v>
      </c>
      <c r="CB35" s="3">
        <v>2073</v>
      </c>
      <c r="CC35" s="3">
        <v>-999</v>
      </c>
      <c r="CD35" s="3">
        <v>4290235</v>
      </c>
      <c r="CE35" s="3">
        <v>412184</v>
      </c>
      <c r="CF35" s="3">
        <v>57727</v>
      </c>
      <c r="CG35" s="3">
        <v>77213</v>
      </c>
      <c r="CH35" s="3">
        <v>1377</v>
      </c>
      <c r="CI35" s="3">
        <v>771966</v>
      </c>
      <c r="CJ35" s="3">
        <v>34023</v>
      </c>
      <c r="CK35" s="3">
        <v>544445</v>
      </c>
      <c r="CL35" s="61">
        <v>105895</v>
      </c>
      <c r="CM35" s="53">
        <f>P35/(P35+N35)</f>
        <v>0.88365093889494284</v>
      </c>
      <c r="CN35" s="53">
        <f>L35/(L35+N35+P35)</f>
        <v>1.0369276467752696E-2</v>
      </c>
      <c r="CO35" s="2">
        <f t="shared" si="43"/>
        <v>6.9121596934039475</v>
      </c>
      <c r="CP35" s="52">
        <v>1</v>
      </c>
      <c r="CQ35" s="58">
        <v>1</v>
      </c>
      <c r="CR35" s="58">
        <v>1</v>
      </c>
      <c r="CS35" s="58">
        <v>20</v>
      </c>
      <c r="CT35" s="58">
        <v>39</v>
      </c>
      <c r="CU35" s="58">
        <v>2</v>
      </c>
      <c r="CV35" s="58">
        <v>5</v>
      </c>
      <c r="CW35" s="58">
        <v>2</v>
      </c>
      <c r="CX35" s="73">
        <v>0.41199999999999998</v>
      </c>
      <c r="CY35" s="74">
        <v>0.75</v>
      </c>
      <c r="CZ35" s="58">
        <v>2</v>
      </c>
      <c r="DA35" s="75">
        <v>85</v>
      </c>
      <c r="DB35" s="77">
        <v>0.78</v>
      </c>
      <c r="DC35" s="78">
        <f>0</f>
        <v>0</v>
      </c>
      <c r="DD35" s="78">
        <v>1</v>
      </c>
      <c r="DE35" s="58">
        <v>960</v>
      </c>
      <c r="DF35" s="1">
        <f t="shared" si="44"/>
        <v>1.0416666666666666E-2</v>
      </c>
      <c r="DG35" s="95">
        <v>20000</v>
      </c>
      <c r="DH35" s="9">
        <f t="shared" si="15"/>
        <v>0.41199999999999998</v>
      </c>
      <c r="DI35" s="1">
        <f t="shared" si="45"/>
        <v>0.29441736331515878</v>
      </c>
      <c r="DJ35" s="1">
        <v>1</v>
      </c>
      <c r="DK35" s="1">
        <f t="shared" si="46"/>
        <v>6.9121596934039475</v>
      </c>
      <c r="DL35" s="1">
        <f>S35*1166.6</f>
        <v>134.32536360394312</v>
      </c>
      <c r="DM35" s="1">
        <f>T35* 1833.1</f>
        <v>1603.0241691214762</v>
      </c>
      <c r="DN35" s="1">
        <v>0.25</v>
      </c>
      <c r="DO35" s="1">
        <f t="shared" si="47"/>
        <v>1.3492446684471384</v>
      </c>
      <c r="DP35" s="1">
        <f t="shared" si="48"/>
        <v>0.28539474923505148</v>
      </c>
      <c r="DQ35" s="1">
        <f t="shared" si="49"/>
        <v>3.5394749235051499</v>
      </c>
      <c r="DR35" s="82">
        <f t="shared" si="11"/>
        <v>47.842821538713295</v>
      </c>
      <c r="DS35" s="82">
        <f t="shared" si="50"/>
        <v>6.4771819929334923E-2</v>
      </c>
      <c r="DT35" s="2">
        <f t="shared" si="51"/>
        <v>0.78</v>
      </c>
    </row>
    <row r="36" spans="1:124" ht="13.5" customHeight="1" x14ac:dyDescent="0.35">
      <c r="A36" s="65" t="s">
        <v>44</v>
      </c>
      <c r="B36" s="1">
        <v>1</v>
      </c>
      <c r="C36" s="6">
        <v>42333</v>
      </c>
      <c r="D36" s="7">
        <v>0.45833333333333331</v>
      </c>
      <c r="E36" t="s">
        <v>294</v>
      </c>
      <c r="F36" t="s">
        <v>295</v>
      </c>
      <c r="G36" s="9" t="s">
        <v>92</v>
      </c>
      <c r="H36" s="9" t="s">
        <v>212</v>
      </c>
      <c r="I36" s="9" t="s">
        <v>68</v>
      </c>
      <c r="J36" s="9">
        <v>1</v>
      </c>
      <c r="K36" s="80">
        <v>42.731000000000002</v>
      </c>
      <c r="L36" s="80">
        <f t="shared" si="36"/>
        <v>40.829666666666668</v>
      </c>
      <c r="M36" s="81">
        <v>696.03</v>
      </c>
      <c r="N36" s="81">
        <f t="shared" si="37"/>
        <v>695.93499999999995</v>
      </c>
      <c r="O36" s="33">
        <v>4393</v>
      </c>
      <c r="P36" s="33">
        <f t="shared" si="38"/>
        <v>3984</v>
      </c>
      <c r="Q36" s="37">
        <f t="shared" si="39"/>
        <v>0.85129387480809038</v>
      </c>
      <c r="R36" s="37">
        <f t="shared" si="40"/>
        <v>8.6489519282681188E-3</v>
      </c>
      <c r="S36" s="38">
        <f t="shared" si="41"/>
        <v>0.14741997306368584</v>
      </c>
      <c r="T36" s="37">
        <f t="shared" si="42"/>
        <v>0.84393107500804609</v>
      </c>
      <c r="U36" s="8">
        <v>114.1</v>
      </c>
      <c r="V36" s="3">
        <v>43093</v>
      </c>
      <c r="W36" s="3">
        <v>1106</v>
      </c>
      <c r="X36" s="3">
        <v>413440</v>
      </c>
      <c r="Y36" s="21">
        <v>1109.9000000000001</v>
      </c>
      <c r="Z36" s="18">
        <v>309.89999999999998</v>
      </c>
      <c r="AA36" s="21">
        <v>370.9</v>
      </c>
      <c r="AB36" s="21">
        <v>4876.1000000000004</v>
      </c>
      <c r="AC36" s="21">
        <v>322.2</v>
      </c>
      <c r="AD36" s="21">
        <v>-999</v>
      </c>
      <c r="AE36" s="18">
        <v>31.9</v>
      </c>
      <c r="AF36" s="21">
        <v>-999</v>
      </c>
      <c r="AG36" s="3">
        <v>2148181</v>
      </c>
      <c r="AH36" s="3">
        <v>11437675</v>
      </c>
      <c r="AI36" s="20">
        <v>12345678</v>
      </c>
      <c r="AJ36" s="3">
        <v>465049</v>
      </c>
      <c r="AK36" s="3">
        <v>2769984</v>
      </c>
      <c r="AL36" s="3">
        <v>58979</v>
      </c>
      <c r="AM36" s="3">
        <v>178614</v>
      </c>
      <c r="AN36" s="3">
        <v>534124</v>
      </c>
      <c r="AO36" s="3">
        <v>309999</v>
      </c>
      <c r="AP36" s="3">
        <v>124517</v>
      </c>
      <c r="AQ36" s="3">
        <v>89595</v>
      </c>
      <c r="AR36" s="3">
        <v>17268</v>
      </c>
      <c r="AS36" s="3">
        <v>38662</v>
      </c>
      <c r="AT36" s="3">
        <v>839457</v>
      </c>
      <c r="AU36" s="3">
        <v>206069</v>
      </c>
      <c r="AV36" s="3">
        <v>598465</v>
      </c>
      <c r="AW36" s="3">
        <v>36758</v>
      </c>
      <c r="AX36" s="3">
        <v>23278</v>
      </c>
      <c r="AY36" s="3">
        <v>269075</v>
      </c>
      <c r="AZ36" s="3">
        <v>82691</v>
      </c>
      <c r="BA36" s="3">
        <v>28560</v>
      </c>
      <c r="BB36" s="3">
        <v>120004</v>
      </c>
      <c r="BC36" s="3">
        <v>360718</v>
      </c>
      <c r="BD36" s="3">
        <v>47224</v>
      </c>
      <c r="BE36" s="3">
        <v>30091</v>
      </c>
      <c r="BF36" s="3">
        <v>44483</v>
      </c>
      <c r="BG36" s="3">
        <v>51539</v>
      </c>
      <c r="BH36" s="3">
        <v>43649</v>
      </c>
      <c r="BI36" s="3">
        <v>57235</v>
      </c>
      <c r="BJ36" s="3">
        <v>175489</v>
      </c>
      <c r="BK36" s="3">
        <v>74003</v>
      </c>
      <c r="BL36" s="3">
        <v>35808</v>
      </c>
      <c r="BM36" s="3">
        <v>21062</v>
      </c>
      <c r="BN36" s="3">
        <v>6671</v>
      </c>
      <c r="BO36" s="12">
        <v>3001110</v>
      </c>
      <c r="BP36" s="3">
        <v>763709</v>
      </c>
      <c r="BQ36" s="3">
        <v>54515</v>
      </c>
      <c r="BR36" s="3">
        <v>172616</v>
      </c>
      <c r="BS36" s="3">
        <v>46195</v>
      </c>
      <c r="BT36" s="3">
        <v>66751</v>
      </c>
      <c r="BU36" s="3">
        <v>2999</v>
      </c>
      <c r="BV36" s="3">
        <v>3612</v>
      </c>
      <c r="BW36" s="3">
        <v>11381</v>
      </c>
      <c r="BX36" s="3">
        <v>6148</v>
      </c>
      <c r="BY36" s="3">
        <v>5426</v>
      </c>
      <c r="BZ36" s="3">
        <v>5560</v>
      </c>
      <c r="CA36" s="3">
        <v>26209</v>
      </c>
      <c r="CB36" s="3">
        <v>10069</v>
      </c>
      <c r="CC36" s="3">
        <v>-999</v>
      </c>
      <c r="CD36" s="3">
        <v>3284409</v>
      </c>
      <c r="CE36" s="3">
        <v>629767</v>
      </c>
      <c r="CF36" s="3">
        <v>125129</v>
      </c>
      <c r="CG36" s="3">
        <v>35140</v>
      </c>
      <c r="CH36" s="3">
        <v>2076</v>
      </c>
      <c r="CI36" s="3">
        <v>672507</v>
      </c>
      <c r="CJ36" s="3">
        <v>79194</v>
      </c>
      <c r="CK36" s="3">
        <v>399470</v>
      </c>
      <c r="CL36" s="61">
        <v>170508</v>
      </c>
      <c r="CM36" s="53">
        <f>P36/(P36+N36)</f>
        <v>0.85129387480809038</v>
      </c>
      <c r="CN36" s="53">
        <f>L36/(L36+N36+P36)</f>
        <v>8.6489519282681188E-3</v>
      </c>
      <c r="CO36" s="2">
        <f t="shared" si="43"/>
        <v>5.7653913553835281</v>
      </c>
      <c r="CP36" s="52">
        <v>1</v>
      </c>
      <c r="CQ36" s="58">
        <v>1.75</v>
      </c>
      <c r="CR36" s="84">
        <v>0.7</v>
      </c>
      <c r="CS36" s="58">
        <v>31</v>
      </c>
      <c r="CT36" s="58">
        <v>31.8</v>
      </c>
      <c r="CU36" s="58">
        <v>2</v>
      </c>
      <c r="CV36" s="79">
        <v>2</v>
      </c>
      <c r="CW36" s="58">
        <v>3</v>
      </c>
      <c r="CX36" s="73">
        <v>0.48099999999999998</v>
      </c>
      <c r="CY36" s="74">
        <v>1.5</v>
      </c>
      <c r="CZ36" s="58">
        <v>1</v>
      </c>
      <c r="DA36" s="75">
        <v>50</v>
      </c>
      <c r="DB36" s="77">
        <v>0.60850000000000004</v>
      </c>
      <c r="DC36" s="78">
        <f>0</f>
        <v>0</v>
      </c>
      <c r="DD36" s="78">
        <v>1</v>
      </c>
      <c r="DE36" s="58">
        <v>120</v>
      </c>
      <c r="DF36" s="1">
        <f t="shared" si="44"/>
        <v>8.3333333333333329E-2</v>
      </c>
      <c r="DG36" s="95">
        <v>20000</v>
      </c>
      <c r="DH36" s="1">
        <f t="shared" ref="DH36:DH44" si="52">CX36</f>
        <v>0.48099999999999998</v>
      </c>
      <c r="DI36" s="1">
        <f t="shared" si="45"/>
        <v>0.33797749183926695</v>
      </c>
      <c r="DJ36" s="1">
        <v>1</v>
      </c>
      <c r="DK36" s="1">
        <f t="shared" si="46"/>
        <v>5.7653913553835281</v>
      </c>
      <c r="DL36" s="1">
        <f>S36*1166.6</f>
        <v>171.98014057609589</v>
      </c>
      <c r="DM36" s="1">
        <f>T36* 1833.1</f>
        <v>1547.0100535972492</v>
      </c>
      <c r="DN36" s="66">
        <v>0.25</v>
      </c>
      <c r="DO36" s="1">
        <f t="shared" si="47"/>
        <v>0.59285318609579329</v>
      </c>
      <c r="DP36" s="1">
        <f t="shared" si="48"/>
        <v>0.29734409181025578</v>
      </c>
      <c r="DQ36" s="1">
        <f t="shared" si="49"/>
        <v>4.7344091810255762</v>
      </c>
      <c r="DR36" s="82">
        <f t="shared" si="11"/>
        <v>342.76550630698989</v>
      </c>
      <c r="DS36" s="82">
        <f t="shared" si="50"/>
        <v>0.132318188055073</v>
      </c>
      <c r="DT36" s="2">
        <f t="shared" si="51"/>
        <v>0.60850000000000004</v>
      </c>
    </row>
    <row r="37" spans="1:124" ht="14.5" customHeight="1" x14ac:dyDescent="0.35">
      <c r="A37" s="65" t="s">
        <v>25</v>
      </c>
      <c r="B37" s="1">
        <v>2</v>
      </c>
      <c r="C37" s="6">
        <v>42373</v>
      </c>
      <c r="D37" s="7">
        <v>0.64583333333333337</v>
      </c>
      <c r="E37" s="35" t="s">
        <v>287</v>
      </c>
      <c r="F37" s="35" t="s">
        <v>288</v>
      </c>
      <c r="G37" s="9" t="s">
        <v>83</v>
      </c>
      <c r="H37" s="9" t="s">
        <v>213</v>
      </c>
      <c r="I37" s="9" t="s">
        <v>69</v>
      </c>
      <c r="J37" s="9">
        <v>2</v>
      </c>
      <c r="K37" s="80">
        <v>3.5</v>
      </c>
      <c r="L37" s="80">
        <f t="shared" si="36"/>
        <v>1.5986666666666667</v>
      </c>
      <c r="M37" s="81">
        <v>180.53</v>
      </c>
      <c r="N37" s="81">
        <f t="shared" si="37"/>
        <v>180.435</v>
      </c>
      <c r="O37" s="33">
        <v>3999</v>
      </c>
      <c r="P37" s="33">
        <f t="shared" si="38"/>
        <v>3590</v>
      </c>
      <c r="Q37" s="37">
        <f t="shared" si="39"/>
        <v>0.95214477905069306</v>
      </c>
      <c r="R37" s="37">
        <f t="shared" si="40"/>
        <v>4.2382089025186327E-4</v>
      </c>
      <c r="S37" s="38">
        <f t="shared" si="41"/>
        <v>4.7834938906960972E-2</v>
      </c>
      <c r="T37" s="37">
        <f t="shared" si="42"/>
        <v>0.95174124020278716</v>
      </c>
      <c r="U37" s="8">
        <v>11.8</v>
      </c>
      <c r="V37" s="10">
        <v>5401</v>
      </c>
      <c r="W37" s="10">
        <v>143</v>
      </c>
      <c r="X37" s="3">
        <v>61156</v>
      </c>
      <c r="Y37" s="21">
        <v>392.6</v>
      </c>
      <c r="Z37" s="18">
        <v>122.3</v>
      </c>
      <c r="AA37" s="22">
        <v>78.599999999999994</v>
      </c>
      <c r="AB37" s="22">
        <v>5017.1000000000004</v>
      </c>
      <c r="AC37" s="22">
        <v>183.2</v>
      </c>
      <c r="AD37" s="22">
        <v>129.5</v>
      </c>
      <c r="AE37" s="18">
        <v>32.299999999999997</v>
      </c>
      <c r="AF37" s="21">
        <v>60.2</v>
      </c>
      <c r="AG37" s="3">
        <v>349884</v>
      </c>
      <c r="AH37" s="3">
        <v>2706897</v>
      </c>
      <c r="AI37" s="3">
        <v>2012959</v>
      </c>
      <c r="AJ37" s="3">
        <v>48708</v>
      </c>
      <c r="AK37" s="3">
        <v>354618</v>
      </c>
      <c r="AL37" s="3">
        <v>3109</v>
      </c>
      <c r="AM37" s="3">
        <v>9123</v>
      </c>
      <c r="AN37" s="3">
        <v>50607</v>
      </c>
      <c r="AO37" s="3">
        <v>22275</v>
      </c>
      <c r="AP37" s="3">
        <v>9268</v>
      </c>
      <c r="AQ37" s="3">
        <v>6866</v>
      </c>
      <c r="AR37" s="3">
        <v>2181</v>
      </c>
      <c r="AS37" s="3">
        <v>2454</v>
      </c>
      <c r="AT37" s="3">
        <v>13543</v>
      </c>
      <c r="AU37" s="3">
        <v>26877</v>
      </c>
      <c r="AV37" s="3">
        <v>72080</v>
      </c>
      <c r="AW37" s="3">
        <v>4570</v>
      </c>
      <c r="AX37" s="3">
        <v>1947</v>
      </c>
      <c r="AY37" s="3">
        <v>28380</v>
      </c>
      <c r="AZ37" s="3">
        <v>3008</v>
      </c>
      <c r="BA37" s="3">
        <v>2539</v>
      </c>
      <c r="BB37" s="3">
        <v>7981</v>
      </c>
      <c r="BC37" s="10">
        <v>557</v>
      </c>
      <c r="BD37" s="3">
        <v>2934</v>
      </c>
      <c r="BE37" s="3">
        <v>1924</v>
      </c>
      <c r="BF37" s="3">
        <v>2885</v>
      </c>
      <c r="BG37" s="3">
        <v>3139</v>
      </c>
      <c r="BH37" s="3">
        <v>3181</v>
      </c>
      <c r="BI37" s="3">
        <v>3619</v>
      </c>
      <c r="BJ37" s="3">
        <v>10965</v>
      </c>
      <c r="BK37" s="3">
        <v>3916</v>
      </c>
      <c r="BL37" s="3">
        <v>2110</v>
      </c>
      <c r="BM37" s="3">
        <v>2434</v>
      </c>
      <c r="BN37" s="10">
        <v>1400</v>
      </c>
      <c r="BO37" s="12">
        <v>393061</v>
      </c>
      <c r="BP37" s="3">
        <v>93076</v>
      </c>
      <c r="BQ37" s="3">
        <v>7112</v>
      </c>
      <c r="BR37" s="3">
        <v>15933</v>
      </c>
      <c r="BS37" s="3">
        <v>3612</v>
      </c>
      <c r="BT37" s="3">
        <v>5503</v>
      </c>
      <c r="BU37" s="3">
        <v>325</v>
      </c>
      <c r="BV37" s="3">
        <v>314</v>
      </c>
      <c r="BW37" s="3">
        <v>-999</v>
      </c>
      <c r="BX37" s="3">
        <v>-999</v>
      </c>
      <c r="BY37" s="3">
        <v>728</v>
      </c>
      <c r="BZ37" s="3">
        <v>597</v>
      </c>
      <c r="CA37" s="3">
        <v>5123</v>
      </c>
      <c r="CB37" s="3">
        <v>692</v>
      </c>
      <c r="CC37" s="10">
        <v>118</v>
      </c>
      <c r="CD37" s="10">
        <v>703118</v>
      </c>
      <c r="CE37" s="10">
        <v>117688</v>
      </c>
      <c r="CF37" s="10">
        <v>26322</v>
      </c>
      <c r="CG37" s="10">
        <v>17944</v>
      </c>
      <c r="CH37" s="10">
        <v>33211</v>
      </c>
      <c r="CI37" s="10">
        <v>1654704</v>
      </c>
      <c r="CJ37" s="10">
        <v>43791</v>
      </c>
      <c r="CK37" s="3">
        <v>37949</v>
      </c>
      <c r="CL37" s="61">
        <v>11728</v>
      </c>
      <c r="CM37" s="53">
        <f>P37/(P37+N37)</f>
        <v>0.95214477905069306</v>
      </c>
      <c r="CN37" s="53">
        <f>L37/(L37+N37+P37)</f>
        <v>4.2382089025186327E-4</v>
      </c>
      <c r="CO37" s="2">
        <f t="shared" si="43"/>
        <v>0.28251900544189207</v>
      </c>
      <c r="CP37" s="52">
        <v>2</v>
      </c>
      <c r="CQ37" s="58">
        <v>1.3</v>
      </c>
      <c r="CR37" s="58">
        <v>0.76</v>
      </c>
      <c r="CS37" s="58">
        <v>21</v>
      </c>
      <c r="CT37" s="58">
        <v>29.1</v>
      </c>
      <c r="CU37" s="58">
        <v>2</v>
      </c>
      <c r="CV37" s="58">
        <v>6</v>
      </c>
      <c r="CW37" s="58">
        <v>2</v>
      </c>
      <c r="CX37" s="73">
        <v>0.33</v>
      </c>
      <c r="CY37" s="74">
        <v>0.75</v>
      </c>
      <c r="CZ37" s="58">
        <v>2</v>
      </c>
      <c r="DA37" s="75">
        <v>80</v>
      </c>
      <c r="DB37" s="74">
        <v>0.96399999999999997</v>
      </c>
      <c r="DC37" s="78">
        <v>1</v>
      </c>
      <c r="DD37" s="58">
        <v>0</v>
      </c>
      <c r="DE37" s="58">
        <v>1200</v>
      </c>
      <c r="DF37" s="1">
        <f t="shared" si="44"/>
        <v>8.3333333333333332E-3</v>
      </c>
      <c r="DG37" s="95">
        <v>20000</v>
      </c>
      <c r="DH37" s="1">
        <f t="shared" si="52"/>
        <v>0.33</v>
      </c>
      <c r="DI37" s="1">
        <f t="shared" si="45"/>
        <v>0.31597467385991218</v>
      </c>
      <c r="DJ37" s="1">
        <v>1</v>
      </c>
      <c r="DK37" s="1">
        <f t="shared" si="46"/>
        <v>0.28251900544189207</v>
      </c>
      <c r="DL37" s="1">
        <f>S37*1166.6</f>
        <v>55.804239728860665</v>
      </c>
      <c r="DM37" s="1">
        <f>T37* 1833.1</f>
        <v>1744.6368674157291</v>
      </c>
      <c r="DN37" s="1">
        <f>CX37-DH37</f>
        <v>0</v>
      </c>
      <c r="DO37" s="1">
        <f t="shared" si="47"/>
        <v>6.8844137585595502E-2</v>
      </c>
      <c r="DP37" s="1">
        <f t="shared" si="48"/>
        <v>4.2500988303296398E-2</v>
      </c>
      <c r="DQ37" s="1">
        <f t="shared" si="49"/>
        <v>4.2500988303296401</v>
      </c>
      <c r="DR37" s="82">
        <f t="shared" si="11"/>
        <v>50.766597600159223</v>
      </c>
      <c r="DS37" s="82">
        <f t="shared" si="50"/>
        <v>1.1375088258956834E-2</v>
      </c>
      <c r="DT37" s="2">
        <f t="shared" si="51"/>
        <v>0.96399999999999997</v>
      </c>
    </row>
    <row r="38" spans="1:124" ht="14.5" x14ac:dyDescent="0.35">
      <c r="A38" s="65" t="s">
        <v>39</v>
      </c>
      <c r="B38" s="1">
        <v>1</v>
      </c>
      <c r="C38" s="6">
        <v>42334</v>
      </c>
      <c r="D38" s="7">
        <v>0.68194444444444446</v>
      </c>
      <c r="E38" s="9" t="s">
        <v>297</v>
      </c>
      <c r="F38" s="9" t="s">
        <v>296</v>
      </c>
      <c r="G38" s="9" t="s">
        <v>236</v>
      </c>
      <c r="H38" s="9" t="s">
        <v>253</v>
      </c>
      <c r="I38" s="9" t="s">
        <v>91</v>
      </c>
      <c r="J38" s="9">
        <v>2</v>
      </c>
      <c r="K38" s="80">
        <v>11.505000000000001</v>
      </c>
      <c r="L38" s="80">
        <f t="shared" si="36"/>
        <v>9.6036666666666672</v>
      </c>
      <c r="M38" s="81">
        <v>237.99</v>
      </c>
      <c r="N38" s="81">
        <f t="shared" si="37"/>
        <v>237.89500000000001</v>
      </c>
      <c r="O38" s="33">
        <v>1311</v>
      </c>
      <c r="P38" s="33">
        <f t="shared" si="38"/>
        <v>902</v>
      </c>
      <c r="Q38" s="37">
        <f t="shared" si="39"/>
        <v>0.79130095315796634</v>
      </c>
      <c r="R38" s="37">
        <f t="shared" si="40"/>
        <v>8.3546566387201846E-3</v>
      </c>
      <c r="S38" s="38">
        <f t="shared" si="41"/>
        <v>0.20695543796484034</v>
      </c>
      <c r="T38" s="37">
        <f t="shared" si="42"/>
        <v>0.78468990539643957</v>
      </c>
      <c r="U38" s="8">
        <v>40.5</v>
      </c>
      <c r="V38" s="3">
        <v>15100</v>
      </c>
      <c r="W38" s="3">
        <v>106</v>
      </c>
      <c r="X38" s="3">
        <v>88914</v>
      </c>
      <c r="Y38" s="21">
        <v>1153.4000000000001</v>
      </c>
      <c r="Z38" s="18">
        <v>103</v>
      </c>
      <c r="AA38" s="21">
        <v>137.5</v>
      </c>
      <c r="AB38" s="21">
        <v>2264.4</v>
      </c>
      <c r="AC38" s="21">
        <v>134.80000000000001</v>
      </c>
      <c r="AD38" s="21">
        <v>-999</v>
      </c>
      <c r="AE38" s="18">
        <v>47.5</v>
      </c>
      <c r="AF38" s="21">
        <v>22.5</v>
      </c>
      <c r="AG38" s="3">
        <v>536179</v>
      </c>
      <c r="AH38" s="3">
        <v>3096898</v>
      </c>
      <c r="AI38" s="3">
        <v>2517639</v>
      </c>
      <c r="AJ38" s="3">
        <v>112181</v>
      </c>
      <c r="AK38" s="3">
        <v>827948</v>
      </c>
      <c r="AL38" s="3">
        <v>14936</v>
      </c>
      <c r="AM38" s="3">
        <v>37319</v>
      </c>
      <c r="AN38" s="3">
        <v>151090</v>
      </c>
      <c r="AO38" s="3">
        <v>76473</v>
      </c>
      <c r="AP38" s="3">
        <v>31314</v>
      </c>
      <c r="AQ38" s="3">
        <v>22655</v>
      </c>
      <c r="AR38" s="3">
        <v>3081</v>
      </c>
      <c r="AS38" s="3">
        <v>6765</v>
      </c>
      <c r="AT38" s="3">
        <v>222770</v>
      </c>
      <c r="AU38" s="3">
        <v>48930</v>
      </c>
      <c r="AV38" s="3">
        <v>151064</v>
      </c>
      <c r="AW38" s="3">
        <v>10874</v>
      </c>
      <c r="AX38" s="3">
        <v>6270</v>
      </c>
      <c r="AY38" s="3">
        <v>48766</v>
      </c>
      <c r="AZ38" s="3">
        <v>5974</v>
      </c>
      <c r="BA38" s="3">
        <v>7608</v>
      </c>
      <c r="BB38" s="3">
        <v>30024</v>
      </c>
      <c r="BC38" s="3">
        <v>78792</v>
      </c>
      <c r="BD38" s="3">
        <v>10843</v>
      </c>
      <c r="BE38" s="3">
        <v>7229</v>
      </c>
      <c r="BF38" s="3">
        <v>10242</v>
      </c>
      <c r="BG38" s="3">
        <v>11884</v>
      </c>
      <c r="BH38" s="3">
        <v>6851</v>
      </c>
      <c r="BI38" s="3">
        <v>14003</v>
      </c>
      <c r="BJ38" s="3">
        <v>45379</v>
      </c>
      <c r="BK38" s="3">
        <v>16843</v>
      </c>
      <c r="BL38" s="3">
        <v>8085</v>
      </c>
      <c r="BM38" s="3">
        <v>4026</v>
      </c>
      <c r="BN38" s="3">
        <v>721</v>
      </c>
      <c r="BO38" s="12">
        <v>519784</v>
      </c>
      <c r="BP38" s="3">
        <v>145664</v>
      </c>
      <c r="BQ38" s="3">
        <v>11699</v>
      </c>
      <c r="BR38" s="3">
        <v>21354</v>
      </c>
      <c r="BS38" s="3">
        <v>6266</v>
      </c>
      <c r="BT38" s="3">
        <v>3591</v>
      </c>
      <c r="BU38" s="3">
        <v>263</v>
      </c>
      <c r="BV38" s="3">
        <v>396</v>
      </c>
      <c r="BW38" s="3">
        <v>-999</v>
      </c>
      <c r="BX38" s="3">
        <v>-999</v>
      </c>
      <c r="BY38" s="3">
        <v>-999</v>
      </c>
      <c r="BZ38" s="3">
        <v>-999</v>
      </c>
      <c r="CA38" s="3">
        <v>3034</v>
      </c>
      <c r="CB38" s="3">
        <v>445</v>
      </c>
      <c r="CC38" s="3">
        <v>-999</v>
      </c>
      <c r="CD38" s="3">
        <v>1200687</v>
      </c>
      <c r="CE38" s="3">
        <v>151923</v>
      </c>
      <c r="CF38" s="3">
        <v>17795</v>
      </c>
      <c r="CG38" s="3">
        <v>12543</v>
      </c>
      <c r="CH38" s="3">
        <v>492</v>
      </c>
      <c r="CI38" s="3">
        <v>204874</v>
      </c>
      <c r="CJ38" s="3">
        <v>14647</v>
      </c>
      <c r="CK38" s="3">
        <v>127378</v>
      </c>
      <c r="CL38" s="61">
        <v>5895</v>
      </c>
      <c r="CM38" s="53">
        <f>P38/(P38+N38)</f>
        <v>0.79130095315796634</v>
      </c>
      <c r="CN38" s="53">
        <f>L38/(L38+N38+P38)</f>
        <v>8.3546566387201846E-3</v>
      </c>
      <c r="CO38" s="2">
        <f t="shared" si="43"/>
        <v>5.5692141153708752</v>
      </c>
      <c r="CP38" s="52">
        <v>1</v>
      </c>
      <c r="CQ38" s="58">
        <v>0.5</v>
      </c>
      <c r="CR38" s="58">
        <v>0.63</v>
      </c>
      <c r="CS38" s="58">
        <v>27.1</v>
      </c>
      <c r="CT38" s="58">
        <v>35.299999999999997</v>
      </c>
      <c r="CU38" s="58">
        <v>2</v>
      </c>
      <c r="CV38" s="58">
        <v>2</v>
      </c>
      <c r="CW38" s="58">
        <v>1</v>
      </c>
      <c r="CX38" s="73">
        <v>0.40899999999999997</v>
      </c>
      <c r="CY38" s="74">
        <v>0.75</v>
      </c>
      <c r="CZ38" s="58">
        <v>2</v>
      </c>
      <c r="DA38" s="75">
        <v>70</v>
      </c>
      <c r="DB38" s="77">
        <v>0.89100000000000001</v>
      </c>
      <c r="DC38" s="78">
        <v>0</v>
      </c>
      <c r="DD38" s="78">
        <v>1</v>
      </c>
      <c r="DE38" s="58">
        <v>2020</v>
      </c>
      <c r="DF38" s="1">
        <f t="shared" si="44"/>
        <v>4.9504950495049506E-3</v>
      </c>
      <c r="DG38" s="95">
        <v>20000</v>
      </c>
      <c r="DH38" s="1">
        <f t="shared" si="52"/>
        <v>0.40899999999999997</v>
      </c>
      <c r="DI38" s="1">
        <f t="shared" si="45"/>
        <v>0.39176991359580543</v>
      </c>
      <c r="DJ38" s="1">
        <v>1</v>
      </c>
      <c r="DK38" s="1">
        <f t="shared" si="46"/>
        <v>5.5692141153708752</v>
      </c>
      <c r="DL38" s="1">
        <f>S38*1166.6</f>
        <v>241.43421392978271</v>
      </c>
      <c r="DM38" s="1">
        <f>T38* 1833.1</f>
        <v>1438.4150655822134</v>
      </c>
      <c r="DN38" s="1">
        <f>CX38-DH38</f>
        <v>0</v>
      </c>
      <c r="DO38" s="1">
        <f t="shared" si="47"/>
        <v>1.3608201772920094</v>
      </c>
      <c r="DP38" s="1">
        <f t="shared" si="48"/>
        <v>4.2127350621502496E-2</v>
      </c>
      <c r="DQ38" s="1">
        <f t="shared" si="49"/>
        <v>4.2127350621502497</v>
      </c>
      <c r="DR38" s="82">
        <f t="shared" si="11"/>
        <v>34.561088417214123</v>
      </c>
      <c r="DS38" s="82">
        <f t="shared" ref="DS38:DS44" si="53">DI38-DI38*DB38</f>
        <v>4.2702920581942805E-2</v>
      </c>
      <c r="DT38" s="2">
        <f t="shared" si="51"/>
        <v>0.89100000000000001</v>
      </c>
    </row>
    <row r="39" spans="1:124" ht="12.5" customHeight="1" x14ac:dyDescent="0.35">
      <c r="A39" s="65" t="s">
        <v>48</v>
      </c>
      <c r="B39" s="1">
        <v>2</v>
      </c>
      <c r="C39" s="6">
        <v>42379</v>
      </c>
      <c r="D39" s="7">
        <v>0.52083333333333337</v>
      </c>
      <c r="E39" s="35" t="s">
        <v>312</v>
      </c>
      <c r="F39" s="35" t="s">
        <v>307</v>
      </c>
      <c r="G39" s="9"/>
      <c r="H39" s="9" t="s">
        <v>228</v>
      </c>
      <c r="I39" s="9" t="s">
        <v>74</v>
      </c>
      <c r="J39" s="9">
        <v>2</v>
      </c>
      <c r="K39" s="80">
        <v>44.087000000000003</v>
      </c>
      <c r="L39" s="80">
        <f t="shared" si="36"/>
        <v>42.18566666666667</v>
      </c>
      <c r="M39" s="81">
        <v>824.12</v>
      </c>
      <c r="N39" s="81">
        <f t="shared" si="37"/>
        <v>824.02499999999998</v>
      </c>
      <c r="O39" s="33">
        <v>19161</v>
      </c>
      <c r="P39" s="33">
        <f t="shared" si="38"/>
        <v>18752</v>
      </c>
      <c r="Q39" s="37">
        <f t="shared" si="39"/>
        <v>0.95790641869327398</v>
      </c>
      <c r="R39" s="37">
        <f t="shared" si="40"/>
        <v>2.1503320248438562E-3</v>
      </c>
      <c r="S39" s="38">
        <f t="shared" si="41"/>
        <v>4.2003066130801736E-2</v>
      </c>
      <c r="T39" s="37">
        <f t="shared" si="42"/>
        <v>0.95584660184435422</v>
      </c>
      <c r="U39" s="8">
        <v>82.9</v>
      </c>
      <c r="V39" s="10">
        <v>62703</v>
      </c>
      <c r="W39" s="10">
        <v>2764</v>
      </c>
      <c r="X39" s="3">
        <v>308548</v>
      </c>
      <c r="Y39" s="21">
        <v>4969.7</v>
      </c>
      <c r="Z39" s="18">
        <v>7235</v>
      </c>
      <c r="AA39" s="22">
        <v>527.1</v>
      </c>
      <c r="AB39" s="22">
        <v>141844.9</v>
      </c>
      <c r="AC39" s="22">
        <v>4680.7</v>
      </c>
      <c r="AD39" s="22">
        <v>2488.9</v>
      </c>
      <c r="AE39" s="18">
        <v>543.5</v>
      </c>
      <c r="AF39" s="21">
        <v>804.7</v>
      </c>
      <c r="AG39" s="3">
        <v>1906551</v>
      </c>
      <c r="AH39" s="3">
        <v>24806529</v>
      </c>
      <c r="AI39" s="3">
        <v>36125122</v>
      </c>
      <c r="AJ39" s="3">
        <v>269916</v>
      </c>
      <c r="AK39" s="3">
        <v>3088650</v>
      </c>
      <c r="AL39" s="3">
        <v>18029</v>
      </c>
      <c r="AM39" s="3">
        <v>53716</v>
      </c>
      <c r="AN39" s="3">
        <v>315061</v>
      </c>
      <c r="AO39" s="3">
        <v>170381</v>
      </c>
      <c r="AP39" s="3">
        <v>58627</v>
      </c>
      <c r="AQ39" s="3">
        <v>47725</v>
      </c>
      <c r="AR39" s="10">
        <v>7293</v>
      </c>
      <c r="AS39" s="3">
        <v>13923</v>
      </c>
      <c r="AT39" s="3">
        <v>53616</v>
      </c>
      <c r="AU39" s="3">
        <v>505586</v>
      </c>
      <c r="AV39" s="3">
        <v>1090491</v>
      </c>
      <c r="AW39" s="3">
        <v>25499</v>
      </c>
      <c r="AX39" s="3">
        <v>18427</v>
      </c>
      <c r="AY39" s="3">
        <v>512575</v>
      </c>
      <c r="AZ39" s="3">
        <v>190167</v>
      </c>
      <c r="BA39" s="3">
        <v>24947</v>
      </c>
      <c r="BB39" s="3">
        <v>61070</v>
      </c>
      <c r="BC39" s="10">
        <v>2885</v>
      </c>
      <c r="BD39" s="3">
        <v>14077</v>
      </c>
      <c r="BE39" s="3">
        <v>10623</v>
      </c>
      <c r="BF39" s="3">
        <v>16064</v>
      </c>
      <c r="BG39" s="3">
        <v>18664</v>
      </c>
      <c r="BH39" s="3">
        <v>13633</v>
      </c>
      <c r="BI39" s="3">
        <v>17107</v>
      </c>
      <c r="BJ39" s="3">
        <v>79429</v>
      </c>
      <c r="BK39" s="3">
        <v>29246</v>
      </c>
      <c r="BL39" s="3">
        <v>23712</v>
      </c>
      <c r="BM39" s="3">
        <v>12328</v>
      </c>
      <c r="BN39" s="10">
        <v>2044</v>
      </c>
      <c r="BO39" s="12">
        <v>5772619</v>
      </c>
      <c r="BP39" s="3">
        <v>1370320</v>
      </c>
      <c r="BQ39" s="3">
        <v>61295</v>
      </c>
      <c r="BR39" s="3">
        <v>321654</v>
      </c>
      <c r="BS39" s="3">
        <v>49941</v>
      </c>
      <c r="BT39" s="3">
        <v>75297</v>
      </c>
      <c r="BU39" s="3">
        <v>2471</v>
      </c>
      <c r="BV39" s="3">
        <v>7219</v>
      </c>
      <c r="BW39" s="3">
        <v>16144</v>
      </c>
      <c r="BX39" s="3">
        <v>10627</v>
      </c>
      <c r="BY39" s="3">
        <v>14838</v>
      </c>
      <c r="BZ39" s="3">
        <v>3344</v>
      </c>
      <c r="CA39" s="3">
        <v>62148</v>
      </c>
      <c r="CB39" s="3">
        <v>21646</v>
      </c>
      <c r="CC39" s="10">
        <v>820</v>
      </c>
      <c r="CD39" s="3">
        <v>5023618</v>
      </c>
      <c r="CE39" s="3">
        <v>970175</v>
      </c>
      <c r="CF39" s="3">
        <v>316700</v>
      </c>
      <c r="CG39" s="3">
        <v>116350</v>
      </c>
      <c r="CH39" s="3">
        <v>150513</v>
      </c>
      <c r="CI39" s="3">
        <v>10130909</v>
      </c>
      <c r="CJ39" s="3">
        <v>188605</v>
      </c>
      <c r="CK39" s="3">
        <v>420118</v>
      </c>
      <c r="CL39" s="61">
        <v>139951</v>
      </c>
      <c r="CM39" s="53">
        <f>P39/(P39+N39)</f>
        <v>0.95790641869327398</v>
      </c>
      <c r="CN39" s="53">
        <f>L39/(L39+N39+P39)</f>
        <v>2.1503320248438562E-3</v>
      </c>
      <c r="CO39" s="2">
        <f t="shared" si="43"/>
        <v>1.4334113277609146</v>
      </c>
      <c r="CP39" s="52">
        <v>2</v>
      </c>
      <c r="CQ39" s="1">
        <v>1.5</v>
      </c>
      <c r="CR39" s="1">
        <v>1</v>
      </c>
      <c r="CS39" s="1">
        <v>26.4</v>
      </c>
      <c r="CT39" s="1">
        <v>31.6</v>
      </c>
      <c r="CU39" s="1">
        <v>3</v>
      </c>
      <c r="CV39" s="1">
        <v>7</v>
      </c>
      <c r="CW39" s="1">
        <v>2</v>
      </c>
      <c r="CX39" s="1">
        <v>0.50133000000000005</v>
      </c>
      <c r="CY39" s="1">
        <v>0.5</v>
      </c>
      <c r="CZ39" s="1">
        <v>2</v>
      </c>
      <c r="DA39" s="1">
        <v>95</v>
      </c>
      <c r="DB39" s="1">
        <v>0.95680000000000009</v>
      </c>
      <c r="DC39" s="1">
        <v>1</v>
      </c>
      <c r="DD39" s="1">
        <v>0</v>
      </c>
      <c r="DE39" s="1">
        <v>720</v>
      </c>
      <c r="DF39" s="1">
        <f t="shared" si="44"/>
        <v>1.3888888888888888E-2</v>
      </c>
      <c r="DG39" s="92">
        <v>20000</v>
      </c>
      <c r="DH39" s="1">
        <f t="shared" si="52"/>
        <v>0.50133000000000005</v>
      </c>
      <c r="DI39" s="1">
        <f t="shared" si="45"/>
        <v>0.47916300548358115</v>
      </c>
      <c r="DJ39" s="1">
        <v>1</v>
      </c>
      <c r="DK39" s="1">
        <f t="shared" si="46"/>
        <v>1.4334113277609146</v>
      </c>
      <c r="DL39" s="1">
        <f>S39*1166.6</f>
        <v>49.000776948193298</v>
      </c>
      <c r="DM39" s="1">
        <f>T39* 1833.1</f>
        <v>1752.1624058408856</v>
      </c>
      <c r="DN39" s="1">
        <f>CX39-DH39</f>
        <v>0</v>
      </c>
      <c r="DO39" s="1">
        <f t="shared" si="47"/>
        <v>0.62430797752565848</v>
      </c>
      <c r="DP39" s="1">
        <f t="shared" si="48"/>
        <v>4.4216373479382585E-2</v>
      </c>
      <c r="DQ39" s="1">
        <f t="shared" si="49"/>
        <v>4.4216373479382582</v>
      </c>
      <c r="DR39" s="82">
        <f t="shared" si="11"/>
        <v>127.35087879074736</v>
      </c>
      <c r="DS39" s="82">
        <f t="shared" si="53"/>
        <v>2.0699841836890664E-2</v>
      </c>
      <c r="DT39" s="2">
        <f t="shared" si="51"/>
        <v>0.95680000000000009</v>
      </c>
    </row>
    <row r="40" spans="1:124" ht="14.5" customHeight="1" x14ac:dyDescent="0.35">
      <c r="A40" s="65" t="s">
        <v>54</v>
      </c>
      <c r="B40" s="1">
        <v>1</v>
      </c>
      <c r="C40" s="6">
        <v>42332</v>
      </c>
      <c r="D40" s="7">
        <v>0.6875</v>
      </c>
      <c r="E40" s="35" t="s">
        <v>313</v>
      </c>
      <c r="F40" s="35" t="s">
        <v>308</v>
      </c>
      <c r="G40" s="9"/>
      <c r="H40" s="9" t="s">
        <v>217</v>
      </c>
      <c r="I40" s="9" t="s">
        <v>67</v>
      </c>
      <c r="J40" s="9">
        <v>2</v>
      </c>
      <c r="K40" s="80">
        <v>8.9459999999999997</v>
      </c>
      <c r="L40" s="80">
        <f t="shared" si="36"/>
        <v>7.0446666666666662</v>
      </c>
      <c r="M40" s="81">
        <v>281.2</v>
      </c>
      <c r="N40" s="81">
        <f t="shared" si="37"/>
        <v>281.10499999999996</v>
      </c>
      <c r="O40" s="33">
        <v>4767</v>
      </c>
      <c r="P40" s="33">
        <f t="shared" si="38"/>
        <v>4358</v>
      </c>
      <c r="Q40" s="37">
        <f t="shared" si="39"/>
        <v>0.93940533788306158</v>
      </c>
      <c r="R40" s="37">
        <f t="shared" si="40"/>
        <v>1.5162375670348975E-3</v>
      </c>
      <c r="S40" s="38">
        <f t="shared" si="41"/>
        <v>6.0502786213875011E-2</v>
      </c>
      <c r="T40" s="37">
        <f t="shared" si="42"/>
        <v>0.93798097621909016</v>
      </c>
      <c r="U40" s="8">
        <v>44.5</v>
      </c>
      <c r="V40" s="3">
        <v>12782</v>
      </c>
      <c r="W40" s="3">
        <v>71</v>
      </c>
      <c r="X40" s="3">
        <v>29226</v>
      </c>
      <c r="Y40" s="21">
        <v>321.2</v>
      </c>
      <c r="Z40" s="18">
        <v>46.8</v>
      </c>
      <c r="AA40" s="21">
        <v>102.8</v>
      </c>
      <c r="AB40" s="21">
        <v>2404.5</v>
      </c>
      <c r="AC40" s="21">
        <v>271.8</v>
      </c>
      <c r="AD40" s="21">
        <v>123.8</v>
      </c>
      <c r="AE40" s="18">
        <v>85</v>
      </c>
      <c r="AF40" s="21">
        <v>48.8</v>
      </c>
      <c r="AG40" s="3">
        <v>470280</v>
      </c>
      <c r="AH40" s="3">
        <v>1624938</v>
      </c>
      <c r="AI40" s="3">
        <v>902038</v>
      </c>
      <c r="AJ40" s="3">
        <v>68299</v>
      </c>
      <c r="AK40" s="3">
        <v>321810</v>
      </c>
      <c r="AL40" s="3">
        <v>3069</v>
      </c>
      <c r="AM40" s="3">
        <v>11347</v>
      </c>
      <c r="AN40" s="3">
        <v>53166</v>
      </c>
      <c r="AO40" s="3">
        <v>21304</v>
      </c>
      <c r="AP40" s="3">
        <v>11775</v>
      </c>
      <c r="AQ40" s="3">
        <v>8604</v>
      </c>
      <c r="AR40" s="3">
        <v>830</v>
      </c>
      <c r="AS40" s="3">
        <v>3564</v>
      </c>
      <c r="AT40" s="3">
        <v>36225</v>
      </c>
      <c r="AU40" s="3">
        <v>18162</v>
      </c>
      <c r="AV40" s="3">
        <v>54290</v>
      </c>
      <c r="AW40" s="3">
        <v>4042</v>
      </c>
      <c r="AX40" s="3">
        <v>2338</v>
      </c>
      <c r="AY40" s="3">
        <v>14676</v>
      </c>
      <c r="AZ40" s="3">
        <v>1404</v>
      </c>
      <c r="BA40" s="3">
        <v>2827</v>
      </c>
      <c r="BB40" s="3">
        <v>9769</v>
      </c>
      <c r="BC40" s="3">
        <v>419</v>
      </c>
      <c r="BD40" s="3">
        <v>3675</v>
      </c>
      <c r="BE40" s="3">
        <v>2553</v>
      </c>
      <c r="BF40" s="3">
        <v>2861</v>
      </c>
      <c r="BG40" s="3">
        <v>3250</v>
      </c>
      <c r="BH40" s="3">
        <v>4507</v>
      </c>
      <c r="BI40" s="3">
        <v>3370</v>
      </c>
      <c r="BJ40" s="3">
        <v>10731</v>
      </c>
      <c r="BK40" s="3">
        <v>3626</v>
      </c>
      <c r="BL40" s="3">
        <v>2427</v>
      </c>
      <c r="BM40" s="3">
        <v>1334</v>
      </c>
      <c r="BN40" s="3">
        <v>251</v>
      </c>
      <c r="BO40" s="12">
        <v>144278</v>
      </c>
      <c r="BP40" s="3">
        <v>40467</v>
      </c>
      <c r="BQ40" s="3">
        <v>4163</v>
      </c>
      <c r="BR40" s="3">
        <v>7307</v>
      </c>
      <c r="BS40" s="3">
        <v>4189</v>
      </c>
      <c r="BT40" s="3">
        <v>705</v>
      </c>
      <c r="BU40" s="3">
        <v>166</v>
      </c>
      <c r="BV40" s="3">
        <v>392</v>
      </c>
      <c r="BW40" s="3">
        <v>-999</v>
      </c>
      <c r="BX40" s="3">
        <v>-999</v>
      </c>
      <c r="BY40" s="3">
        <v>590</v>
      </c>
      <c r="BZ40" s="3">
        <v>229</v>
      </c>
      <c r="CA40" s="3">
        <v>2948</v>
      </c>
      <c r="CB40" s="3">
        <v>578</v>
      </c>
      <c r="CC40" s="3">
        <v>-999</v>
      </c>
      <c r="CD40" s="3">
        <v>533171</v>
      </c>
      <c r="CE40" s="3">
        <v>76561</v>
      </c>
      <c r="CF40" s="3">
        <v>26403</v>
      </c>
      <c r="CG40" s="3">
        <v>12305</v>
      </c>
      <c r="CH40" s="3">
        <v>15766</v>
      </c>
      <c r="CI40" s="3">
        <v>1074461</v>
      </c>
      <c r="CJ40" s="3">
        <v>20699</v>
      </c>
      <c r="CK40" s="3">
        <v>54624</v>
      </c>
      <c r="CL40" s="3">
        <v>12655</v>
      </c>
      <c r="CM40" s="2">
        <f>P40/(P40+N40)</f>
        <v>0.93940533788306158</v>
      </c>
      <c r="CN40" s="2">
        <f>L40/(L40+N40+P40)</f>
        <v>1.5162375670348975E-3</v>
      </c>
      <c r="CO40" s="2">
        <f t="shared" si="43"/>
        <v>1.0107239621854627</v>
      </c>
      <c r="CP40" s="1">
        <v>1</v>
      </c>
      <c r="CQ40" s="58">
        <v>2.5</v>
      </c>
      <c r="CR40" s="58">
        <v>0.83</v>
      </c>
      <c r="CS40" s="58">
        <v>34</v>
      </c>
      <c r="CT40" s="58">
        <v>30</v>
      </c>
      <c r="CU40" s="58">
        <v>1</v>
      </c>
      <c r="CV40" s="58">
        <v>2</v>
      </c>
      <c r="CW40" s="58">
        <v>1</v>
      </c>
      <c r="CX40" s="73">
        <v>0.33500000000000002</v>
      </c>
      <c r="CY40" s="74">
        <v>0.8</v>
      </c>
      <c r="CZ40" s="58">
        <v>2</v>
      </c>
      <c r="DA40" s="75">
        <v>60</v>
      </c>
      <c r="DB40" s="77">
        <v>0.88860000000000006</v>
      </c>
      <c r="DC40" s="78">
        <f>0</f>
        <v>0</v>
      </c>
      <c r="DD40" s="78">
        <v>1</v>
      </c>
      <c r="DE40" s="58">
        <v>1440</v>
      </c>
      <c r="DF40" s="1">
        <f t="shared" si="44"/>
        <v>6.9444444444444441E-3</v>
      </c>
      <c r="DG40" s="95">
        <v>20000</v>
      </c>
      <c r="DH40" s="1">
        <f t="shared" si="52"/>
        <v>0.33500000000000002</v>
      </c>
      <c r="DI40" s="1">
        <f t="shared" si="45"/>
        <v>0.3178871827366081</v>
      </c>
      <c r="DJ40" s="1">
        <v>1</v>
      </c>
      <c r="DK40" s="1">
        <f t="shared" si="46"/>
        <v>1.0107239621854627</v>
      </c>
      <c r="DL40" s="1">
        <f>S40*1166.6</f>
        <v>70.582550397106587</v>
      </c>
      <c r="DM40" s="1">
        <f>T40* 1833.1</f>
        <v>1719.4129275072141</v>
      </c>
      <c r="DN40" s="1">
        <f>CX40-DH40</f>
        <v>0</v>
      </c>
      <c r="DO40" s="1">
        <f t="shared" si="47"/>
        <v>0.17130227818711369</v>
      </c>
      <c r="DP40" s="1">
        <f t="shared" si="48"/>
        <v>5.1083036607140059E-2</v>
      </c>
      <c r="DQ40" s="1">
        <f t="shared" si="49"/>
        <v>5.1083036607140055</v>
      </c>
      <c r="DR40" s="82">
        <f t="shared" si="11"/>
        <v>39.232576469409715</v>
      </c>
      <c r="DS40" s="82">
        <f t="shared" si="53"/>
        <v>3.5412632156858137E-2</v>
      </c>
      <c r="DT40" s="2">
        <f t="shared" si="51"/>
        <v>0.88860000000000006</v>
      </c>
    </row>
    <row r="41" spans="1:124" ht="16.5" x14ac:dyDescent="0.35">
      <c r="A41" s="65" t="s">
        <v>16</v>
      </c>
      <c r="B41" s="1">
        <v>2</v>
      </c>
      <c r="C41" s="6">
        <v>42373</v>
      </c>
      <c r="D41" s="7">
        <v>0.52777777777777779</v>
      </c>
      <c r="E41" s="35" t="s">
        <v>289</v>
      </c>
      <c r="F41" s="35" t="s">
        <v>309</v>
      </c>
      <c r="G41" s="9" t="s">
        <v>83</v>
      </c>
      <c r="H41" s="9" t="s">
        <v>214</v>
      </c>
      <c r="I41" s="9" t="s">
        <v>67</v>
      </c>
      <c r="J41" s="9">
        <v>2</v>
      </c>
      <c r="K41" s="80">
        <v>47.954999999999998</v>
      </c>
      <c r="L41" s="80">
        <f t="shared" si="36"/>
        <v>46.053666666666665</v>
      </c>
      <c r="M41" s="81">
        <v>1199.31</v>
      </c>
      <c r="N41" s="81">
        <f t="shared" si="37"/>
        <v>1199.2149999999999</v>
      </c>
      <c r="O41" s="33">
        <v>17838</v>
      </c>
      <c r="P41" s="33">
        <f t="shared" si="38"/>
        <v>17429</v>
      </c>
      <c r="Q41" s="37">
        <f t="shared" si="39"/>
        <v>0.93562372991722498</v>
      </c>
      <c r="R41" s="37">
        <f t="shared" si="40"/>
        <v>2.4661563721031753E-3</v>
      </c>
      <c r="S41" s="38">
        <f t="shared" si="41"/>
        <v>6.42175081340981E-2</v>
      </c>
      <c r="T41" s="37">
        <f t="shared" si="42"/>
        <v>0.93331633549379867</v>
      </c>
      <c r="U41" s="8">
        <v>111.6</v>
      </c>
      <c r="V41" s="10">
        <v>51187</v>
      </c>
      <c r="W41" s="10">
        <v>473</v>
      </c>
      <c r="X41" s="3">
        <v>229980</v>
      </c>
      <c r="Y41" s="21">
        <v>2432.6999999999998</v>
      </c>
      <c r="Z41" s="18">
        <v>721.4</v>
      </c>
      <c r="AA41" s="22">
        <v>745.4</v>
      </c>
      <c r="AB41" s="22">
        <v>66690.3</v>
      </c>
      <c r="AC41" s="22">
        <v>2661.2</v>
      </c>
      <c r="AD41" s="22">
        <v>1354</v>
      </c>
      <c r="AE41" s="18">
        <v>362.9</v>
      </c>
      <c r="AF41" s="21">
        <v>334.4</v>
      </c>
      <c r="AG41" s="3">
        <v>1727629</v>
      </c>
      <c r="AH41" s="3">
        <v>14821004</v>
      </c>
      <c r="AI41" s="3">
        <v>29402801</v>
      </c>
      <c r="AJ41" s="3">
        <v>273495</v>
      </c>
      <c r="AK41" s="3">
        <v>2174726</v>
      </c>
      <c r="AL41" s="3">
        <v>14260</v>
      </c>
      <c r="AM41" s="3">
        <v>45885</v>
      </c>
      <c r="AN41" s="3">
        <v>307453</v>
      </c>
      <c r="AO41" s="3">
        <v>126176</v>
      </c>
      <c r="AP41" s="3">
        <v>59789</v>
      </c>
      <c r="AQ41" s="3">
        <v>39072</v>
      </c>
      <c r="AR41" s="10">
        <v>4550</v>
      </c>
      <c r="AS41" s="3">
        <v>7852</v>
      </c>
      <c r="AT41" s="3">
        <v>34865</v>
      </c>
      <c r="AU41" s="3">
        <v>245732</v>
      </c>
      <c r="AV41" s="3">
        <v>601660</v>
      </c>
      <c r="AW41" s="3">
        <v>23746</v>
      </c>
      <c r="AX41" s="3">
        <v>13194</v>
      </c>
      <c r="AY41" s="3">
        <v>190305</v>
      </c>
      <c r="AZ41" s="3">
        <v>186013</v>
      </c>
      <c r="BA41" s="3">
        <v>18711</v>
      </c>
      <c r="BB41" s="3">
        <v>47341</v>
      </c>
      <c r="BC41" s="10">
        <v>4014</v>
      </c>
      <c r="BD41" s="3">
        <v>22954</v>
      </c>
      <c r="BE41" s="3">
        <v>15832</v>
      </c>
      <c r="BF41" s="3">
        <v>23055</v>
      </c>
      <c r="BG41" s="3">
        <v>20724</v>
      </c>
      <c r="BH41" s="3">
        <v>13232</v>
      </c>
      <c r="BI41" s="3">
        <v>18478</v>
      </c>
      <c r="BJ41" s="3">
        <v>61973</v>
      </c>
      <c r="BK41" s="3">
        <v>23435</v>
      </c>
      <c r="BL41" s="3">
        <v>11785</v>
      </c>
      <c r="BM41" s="3">
        <v>6858</v>
      </c>
      <c r="BN41" s="10">
        <v>1337</v>
      </c>
      <c r="BO41" s="12">
        <v>3900634</v>
      </c>
      <c r="BP41" s="3">
        <v>768967</v>
      </c>
      <c r="BQ41" s="3">
        <v>34898</v>
      </c>
      <c r="BR41" s="3">
        <v>176320</v>
      </c>
      <c r="BS41" s="3">
        <v>23119</v>
      </c>
      <c r="BT41" s="3">
        <v>15083</v>
      </c>
      <c r="BU41" s="3">
        <v>1460</v>
      </c>
      <c r="BV41" s="3">
        <v>2052</v>
      </c>
      <c r="BW41" s="3">
        <v>-999</v>
      </c>
      <c r="BX41" s="3">
        <v>-999</v>
      </c>
      <c r="BY41" s="3">
        <v>-999</v>
      </c>
      <c r="BZ41" s="3">
        <v>-999</v>
      </c>
      <c r="CA41" s="3">
        <v>5572</v>
      </c>
      <c r="CB41" s="3">
        <v>-999</v>
      </c>
      <c r="CC41" s="10">
        <v>-999</v>
      </c>
      <c r="CD41" s="3">
        <v>3160895</v>
      </c>
      <c r="CE41" s="3">
        <v>514036</v>
      </c>
      <c r="CF41" s="3">
        <v>86887</v>
      </c>
      <c r="CG41" s="3">
        <v>72132</v>
      </c>
      <c r="CH41" s="3">
        <v>104425</v>
      </c>
      <c r="CI41" s="3">
        <v>4635425</v>
      </c>
      <c r="CJ41" s="3">
        <v>76095</v>
      </c>
      <c r="CK41" s="3">
        <v>188274</v>
      </c>
      <c r="CL41" s="3">
        <v>59770</v>
      </c>
      <c r="CM41" s="2">
        <f>P41/(P41+N41)</f>
        <v>0.93562372991722498</v>
      </c>
      <c r="CN41" s="2">
        <f>L41/(L41+N41+P41)</f>
        <v>2.4661563721031753E-3</v>
      </c>
      <c r="CO41" s="2">
        <f t="shared" si="43"/>
        <v>1.6439398376439767</v>
      </c>
      <c r="CP41" s="1">
        <v>2</v>
      </c>
      <c r="CQ41" s="58">
        <v>1.3</v>
      </c>
      <c r="CR41" s="58">
        <v>0.63</v>
      </c>
      <c r="CS41" s="58">
        <v>20.9</v>
      </c>
      <c r="CT41" s="58">
        <v>29.1</v>
      </c>
      <c r="CU41" s="58">
        <v>2</v>
      </c>
      <c r="CV41" s="58">
        <v>5</v>
      </c>
      <c r="CW41" s="58">
        <v>2</v>
      </c>
      <c r="CX41" s="73">
        <v>0.42199999999999999</v>
      </c>
      <c r="CY41" s="74">
        <v>2</v>
      </c>
      <c r="CZ41" s="58">
        <v>2</v>
      </c>
      <c r="DA41" s="75">
        <v>95</v>
      </c>
      <c r="DB41" s="74">
        <v>0.91709999999999992</v>
      </c>
      <c r="DC41" s="78">
        <v>1</v>
      </c>
      <c r="DD41" s="58">
        <v>0</v>
      </c>
      <c r="DE41" s="58">
        <v>660</v>
      </c>
      <c r="DF41" s="1">
        <f t="shared" si="44"/>
        <v>1.5151515151515152E-2</v>
      </c>
      <c r="DG41" s="95">
        <v>20000</v>
      </c>
      <c r="DH41" s="1">
        <f t="shared" si="52"/>
        <v>0.42199999999999999</v>
      </c>
      <c r="DI41" s="1">
        <f t="shared" si="45"/>
        <v>0.40409022685104196</v>
      </c>
      <c r="DJ41" s="1">
        <v>1</v>
      </c>
      <c r="DK41" s="1">
        <f t="shared" si="46"/>
        <v>1.6439398376439767</v>
      </c>
      <c r="DL41" s="1">
        <f>S41*1166.6</f>
        <v>74.916144989238845</v>
      </c>
      <c r="DM41" s="1">
        <f>T41* 1833.1</f>
        <v>1710.8621745936823</v>
      </c>
      <c r="DN41" s="1">
        <f>CX41-DH41</f>
        <v>0</v>
      </c>
      <c r="DO41" s="1">
        <f t="shared" si="47"/>
        <v>0.57876807260032115</v>
      </c>
      <c r="DP41" s="1">
        <f t="shared" si="48"/>
        <v>4.2440220732128012E-2</v>
      </c>
      <c r="DQ41" s="1">
        <f t="shared" si="49"/>
        <v>4.2440220732128013</v>
      </c>
      <c r="DR41" s="82">
        <f t="shared" si="11"/>
        <v>112.30034758942138</v>
      </c>
      <c r="DS41" s="82">
        <f t="shared" si="53"/>
        <v>3.3499079805951404E-2</v>
      </c>
      <c r="DT41" s="2">
        <f t="shared" si="51"/>
        <v>0.91709999999999992</v>
      </c>
    </row>
    <row r="42" spans="1:124" ht="16.5" x14ac:dyDescent="0.35">
      <c r="A42" s="65" t="s">
        <v>30</v>
      </c>
      <c r="B42" s="1">
        <v>1</v>
      </c>
      <c r="C42" s="6">
        <v>42333</v>
      </c>
      <c r="D42" s="7">
        <v>0.16666666666666666</v>
      </c>
      <c r="E42" s="35" t="s">
        <v>314</v>
      </c>
      <c r="F42" s="35" t="s">
        <v>310</v>
      </c>
      <c r="G42" s="9"/>
      <c r="H42" s="9" t="s">
        <v>216</v>
      </c>
      <c r="I42" s="9" t="s">
        <v>237</v>
      </c>
      <c r="J42" s="9">
        <v>1</v>
      </c>
      <c r="K42" s="80">
        <v>75.549000000000007</v>
      </c>
      <c r="L42" s="80">
        <f t="shared" si="36"/>
        <v>73.64766666666668</v>
      </c>
      <c r="M42" s="81">
        <v>1047.32</v>
      </c>
      <c r="N42" s="81">
        <f t="shared" si="37"/>
        <v>1047.2249999999999</v>
      </c>
      <c r="O42" s="33">
        <v>13452</v>
      </c>
      <c r="P42" s="33">
        <f t="shared" si="38"/>
        <v>13043</v>
      </c>
      <c r="Q42" s="37">
        <f t="shared" si="39"/>
        <v>0.92567719819946093</v>
      </c>
      <c r="R42" s="37">
        <f t="shared" si="40"/>
        <v>5.1996843236235451E-3</v>
      </c>
      <c r="S42" s="38">
        <f t="shared" si="41"/>
        <v>7.3936346693128985E-2</v>
      </c>
      <c r="T42" s="37">
        <f t="shared" si="42"/>
        <v>0.92086396898324752</v>
      </c>
      <c r="U42" s="8">
        <v>74.8</v>
      </c>
      <c r="V42" s="3">
        <v>30491</v>
      </c>
      <c r="W42" s="3">
        <v>600</v>
      </c>
      <c r="X42" s="3">
        <v>614902</v>
      </c>
      <c r="Y42" s="21">
        <v>2638.3</v>
      </c>
      <c r="Z42" s="18">
        <v>162.30000000000001</v>
      </c>
      <c r="AA42" s="21">
        <v>405.3</v>
      </c>
      <c r="AB42" s="21">
        <v>145068</v>
      </c>
      <c r="AC42" s="21">
        <v>4953.3</v>
      </c>
      <c r="AD42" s="21">
        <v>1283.9000000000001</v>
      </c>
      <c r="AE42" s="18">
        <v>459.4</v>
      </c>
      <c r="AF42" s="21">
        <v>221.6</v>
      </c>
      <c r="AG42" s="3">
        <v>2661995</v>
      </c>
      <c r="AH42" s="3">
        <v>22403110</v>
      </c>
      <c r="AI42" s="3">
        <v>33267888</v>
      </c>
      <c r="AJ42" s="3">
        <v>376265</v>
      </c>
      <c r="AK42" s="3">
        <v>3166876</v>
      </c>
      <c r="AL42" s="3">
        <v>13221</v>
      </c>
      <c r="AM42" s="3">
        <v>47617</v>
      </c>
      <c r="AN42" s="3">
        <v>478076</v>
      </c>
      <c r="AO42" s="3">
        <v>159231</v>
      </c>
      <c r="AP42" s="3">
        <v>66641</v>
      </c>
      <c r="AQ42" s="3">
        <v>52422</v>
      </c>
      <c r="AR42" s="3">
        <v>4311</v>
      </c>
      <c r="AS42" s="3">
        <v>12379</v>
      </c>
      <c r="AT42" s="3">
        <v>124863</v>
      </c>
      <c r="AU42" s="3">
        <v>465938</v>
      </c>
      <c r="AV42" s="3">
        <v>1175038</v>
      </c>
      <c r="AW42" s="3">
        <v>58823</v>
      </c>
      <c r="AX42" s="3">
        <v>26408</v>
      </c>
      <c r="AY42" s="3">
        <v>504780</v>
      </c>
      <c r="AZ42" s="3">
        <v>198340</v>
      </c>
      <c r="BA42" s="3">
        <v>40221</v>
      </c>
      <c r="BB42" s="3">
        <v>62192</v>
      </c>
      <c r="BC42" s="3">
        <v>2832</v>
      </c>
      <c r="BD42" s="3">
        <v>30089</v>
      </c>
      <c r="BE42" s="3">
        <v>20157</v>
      </c>
      <c r="BF42" s="3">
        <v>29903</v>
      </c>
      <c r="BG42" s="3">
        <v>21043</v>
      </c>
      <c r="BH42" s="3">
        <v>20805</v>
      </c>
      <c r="BI42" s="3">
        <v>22018</v>
      </c>
      <c r="BJ42" s="3">
        <v>103405</v>
      </c>
      <c r="BK42" s="3">
        <v>31191</v>
      </c>
      <c r="BL42" s="3">
        <v>16906</v>
      </c>
      <c r="BM42" s="3">
        <v>6953</v>
      </c>
      <c r="BN42" s="3">
        <v>1102</v>
      </c>
      <c r="BO42" s="12">
        <v>5023789</v>
      </c>
      <c r="BP42" s="3">
        <v>1008300</v>
      </c>
      <c r="BQ42" s="3">
        <v>89041</v>
      </c>
      <c r="BR42" s="3">
        <v>310499</v>
      </c>
      <c r="BS42" s="3">
        <v>38901</v>
      </c>
      <c r="BT42" s="3">
        <v>70343</v>
      </c>
      <c r="BU42" s="3">
        <v>3542</v>
      </c>
      <c r="BV42" s="3">
        <v>2952</v>
      </c>
      <c r="BW42" s="3">
        <v>11626</v>
      </c>
      <c r="BX42" s="3">
        <v>5363</v>
      </c>
      <c r="BY42" s="3">
        <v>10713</v>
      </c>
      <c r="BZ42" s="3">
        <v>1214</v>
      </c>
      <c r="CA42" s="3">
        <v>38878</v>
      </c>
      <c r="CB42" s="3">
        <v>3702</v>
      </c>
      <c r="CC42" s="3">
        <v>54</v>
      </c>
      <c r="CD42" s="3">
        <v>3502623</v>
      </c>
      <c r="CE42" s="3">
        <v>428377</v>
      </c>
      <c r="CF42" s="3">
        <v>138393</v>
      </c>
      <c r="CG42" s="3">
        <v>99222</v>
      </c>
      <c r="CH42" s="3">
        <v>222643</v>
      </c>
      <c r="CI42" s="3">
        <v>2169581</v>
      </c>
      <c r="CJ42" s="3">
        <v>54550</v>
      </c>
      <c r="CK42" s="3">
        <v>237838</v>
      </c>
      <c r="CL42" s="3">
        <v>64315</v>
      </c>
      <c r="CM42" s="2">
        <f>P42/(P42+N42)</f>
        <v>0.92567719819946093</v>
      </c>
      <c r="CN42" s="2">
        <f>L42/(L42+N42+P42)</f>
        <v>5.1996843236235451E-3</v>
      </c>
      <c r="CO42" s="2">
        <f t="shared" si="43"/>
        <v>3.4661095701274554</v>
      </c>
      <c r="CP42" s="1">
        <v>1</v>
      </c>
      <c r="CQ42" s="1">
        <v>0.5</v>
      </c>
      <c r="CR42" s="1">
        <v>1</v>
      </c>
      <c r="CS42" s="1">
        <v>29.2</v>
      </c>
      <c r="CT42" s="1">
        <v>36.1</v>
      </c>
      <c r="CU42" s="1">
        <v>2</v>
      </c>
      <c r="CV42" s="1">
        <v>6</v>
      </c>
      <c r="CW42" s="1">
        <v>2</v>
      </c>
      <c r="CX42" s="1">
        <v>0.251</v>
      </c>
      <c r="CY42" s="1">
        <v>1</v>
      </c>
      <c r="CZ42" s="1">
        <v>1</v>
      </c>
      <c r="DA42" s="1">
        <v>60</v>
      </c>
      <c r="DB42" s="1">
        <v>0.66500000000000004</v>
      </c>
      <c r="DC42" s="1">
        <v>0</v>
      </c>
      <c r="DD42" s="1">
        <v>1</v>
      </c>
      <c r="DE42" s="1">
        <v>360</v>
      </c>
      <c r="DF42" s="1">
        <f t="shared" si="44"/>
        <v>2.7777777777777776E-2</v>
      </c>
      <c r="DG42" s="92">
        <v>20000</v>
      </c>
      <c r="DH42" s="1">
        <f t="shared" si="52"/>
        <v>0.251</v>
      </c>
      <c r="DI42" s="1">
        <f t="shared" si="45"/>
        <v>0.24020730428019957</v>
      </c>
      <c r="DJ42" s="1">
        <v>1</v>
      </c>
      <c r="DK42" s="1">
        <f t="shared" si="46"/>
        <v>3.4661095701274554</v>
      </c>
      <c r="DL42" s="1">
        <f>S42*1166.6</f>
        <v>86.254142052204273</v>
      </c>
      <c r="DM42" s="1">
        <f>T42* 1833.1</f>
        <v>1688.0357415431909</v>
      </c>
      <c r="DN42" s="1">
        <v>0</v>
      </c>
      <c r="DO42" s="1">
        <f t="shared" si="47"/>
        <v>0.33220134963586689</v>
      </c>
      <c r="DP42" s="1">
        <f t="shared" si="48"/>
        <v>4.299878772828853E-2</v>
      </c>
      <c r="DQ42" s="1">
        <f t="shared" si="49"/>
        <v>4.299878772828853</v>
      </c>
      <c r="DR42" s="82">
        <f t="shared" si="11"/>
        <v>88.743254081295945</v>
      </c>
      <c r="DS42" s="82">
        <f t="shared" si="53"/>
        <v>8.0469446933866845E-2</v>
      </c>
      <c r="DT42" s="2">
        <f t="shared" si="51"/>
        <v>0.66500000000000004</v>
      </c>
    </row>
    <row r="43" spans="1:124" ht="14.5" customHeight="1" x14ac:dyDescent="0.35">
      <c r="A43" s="65" t="s">
        <v>26</v>
      </c>
      <c r="B43" s="1">
        <v>1</v>
      </c>
      <c r="C43" s="6">
        <v>42333</v>
      </c>
      <c r="D43" s="7">
        <v>0.63402777777777775</v>
      </c>
      <c r="E43" s="35" t="s">
        <v>315</v>
      </c>
      <c r="F43" s="35" t="s">
        <v>311</v>
      </c>
      <c r="G43" s="9"/>
      <c r="H43" s="9" t="s">
        <v>215</v>
      </c>
      <c r="I43" s="9" t="s">
        <v>88</v>
      </c>
      <c r="J43" s="9">
        <v>1</v>
      </c>
      <c r="K43" s="80">
        <v>36.033999999999999</v>
      </c>
      <c r="L43" s="80">
        <f t="shared" si="36"/>
        <v>34.132666666666665</v>
      </c>
      <c r="M43" s="81">
        <v>554.72</v>
      </c>
      <c r="N43" s="81">
        <f t="shared" si="37"/>
        <v>554.625</v>
      </c>
      <c r="O43" s="33">
        <v>7298</v>
      </c>
      <c r="P43" s="33">
        <f t="shared" si="38"/>
        <v>6889</v>
      </c>
      <c r="Q43" s="37">
        <f t="shared" si="39"/>
        <v>0.92548993266049806</v>
      </c>
      <c r="R43" s="37">
        <f t="shared" si="40"/>
        <v>4.5645590815036217E-3</v>
      </c>
      <c r="S43" s="38">
        <f t="shared" si="41"/>
        <v>7.4169961734963957E-2</v>
      </c>
      <c r="T43" s="37">
        <f t="shared" si="42"/>
        <v>0.92126547918353241</v>
      </c>
      <c r="U43" s="8">
        <v>57.5</v>
      </c>
      <c r="V43" s="3">
        <v>21403</v>
      </c>
      <c r="W43" s="3">
        <v>92</v>
      </c>
      <c r="X43" s="3">
        <v>117354</v>
      </c>
      <c r="Y43" s="21">
        <v>977.4</v>
      </c>
      <c r="Z43" s="18">
        <v>68.8</v>
      </c>
      <c r="AA43" s="21">
        <v>210.1</v>
      </c>
      <c r="AB43" s="21">
        <v>32080.400000000001</v>
      </c>
      <c r="AC43" s="21">
        <v>4538.8999999999996</v>
      </c>
      <c r="AD43" s="21">
        <v>689.8</v>
      </c>
      <c r="AE43" s="18">
        <v>362.8</v>
      </c>
      <c r="AF43" s="21">
        <v>68.099999999999994</v>
      </c>
      <c r="AG43" s="3">
        <v>1391242</v>
      </c>
      <c r="AH43" s="3">
        <v>10876122</v>
      </c>
      <c r="AI43" s="20">
        <v>15555555</v>
      </c>
      <c r="AJ43" s="3">
        <v>164045</v>
      </c>
      <c r="AK43" s="3">
        <v>1457391</v>
      </c>
      <c r="AL43" s="3">
        <v>16245</v>
      </c>
      <c r="AM43" s="3">
        <v>41366</v>
      </c>
      <c r="AN43" s="3">
        <v>215551</v>
      </c>
      <c r="AO43" s="3">
        <v>94813</v>
      </c>
      <c r="AP43" s="3">
        <v>36931</v>
      </c>
      <c r="AQ43" s="3">
        <v>26953</v>
      </c>
      <c r="AR43" s="3">
        <v>2776</v>
      </c>
      <c r="AS43" s="3">
        <v>7589</v>
      </c>
      <c r="AT43" s="3">
        <v>38163</v>
      </c>
      <c r="AU43" s="3">
        <v>149204</v>
      </c>
      <c r="AV43" s="3">
        <v>443992</v>
      </c>
      <c r="AW43" s="3">
        <v>19366</v>
      </c>
      <c r="AX43" s="3">
        <v>10265</v>
      </c>
      <c r="AY43" s="3">
        <v>199295</v>
      </c>
      <c r="AZ43" s="3">
        <v>67490</v>
      </c>
      <c r="BA43" s="3">
        <v>15049</v>
      </c>
      <c r="BB43" s="3">
        <v>34131</v>
      </c>
      <c r="BC43" s="3">
        <v>1422</v>
      </c>
      <c r="BD43" s="3">
        <v>14203</v>
      </c>
      <c r="BE43" s="3">
        <v>9185</v>
      </c>
      <c r="BF43" s="3">
        <v>12979</v>
      </c>
      <c r="BG43" s="3">
        <v>10415</v>
      </c>
      <c r="BH43" s="3">
        <v>12361</v>
      </c>
      <c r="BI43" s="3">
        <v>13736</v>
      </c>
      <c r="BJ43" s="3">
        <v>60449</v>
      </c>
      <c r="BK43" s="3">
        <v>18631</v>
      </c>
      <c r="BL43" s="3">
        <v>9814</v>
      </c>
      <c r="BM43" s="3">
        <v>4122</v>
      </c>
      <c r="BN43" s="3">
        <v>656</v>
      </c>
      <c r="BO43" s="12">
        <v>1896859</v>
      </c>
      <c r="BP43" s="3">
        <v>331812</v>
      </c>
      <c r="BQ43" s="3">
        <v>29747</v>
      </c>
      <c r="BR43" s="3">
        <v>125532</v>
      </c>
      <c r="BS43" s="3">
        <v>17984</v>
      </c>
      <c r="BT43" s="3">
        <v>2793</v>
      </c>
      <c r="BU43" s="3">
        <v>1287</v>
      </c>
      <c r="BV43" s="3">
        <v>1233</v>
      </c>
      <c r="BW43" s="3">
        <v>2988</v>
      </c>
      <c r="BX43" s="3">
        <v>1986</v>
      </c>
      <c r="BY43" s="3">
        <v>4327</v>
      </c>
      <c r="BZ43" s="3">
        <v>-999</v>
      </c>
      <c r="CA43" s="3">
        <v>22019</v>
      </c>
      <c r="CB43" s="3">
        <v>4229</v>
      </c>
      <c r="CC43" s="3">
        <v>-999</v>
      </c>
      <c r="CD43" s="3">
        <v>1789829</v>
      </c>
      <c r="CE43" s="3">
        <v>251426</v>
      </c>
      <c r="CF43" s="3">
        <v>70369</v>
      </c>
      <c r="CG43" s="3">
        <v>44321</v>
      </c>
      <c r="CH43" s="3">
        <v>74217</v>
      </c>
      <c r="CI43" s="3">
        <v>175171</v>
      </c>
      <c r="CJ43" s="3">
        <v>71786</v>
      </c>
      <c r="CK43" s="3">
        <v>126233</v>
      </c>
      <c r="CL43" s="3">
        <v>24482</v>
      </c>
      <c r="CM43" s="2">
        <f>P43/(P43+N43)</f>
        <v>0.92548993266049806</v>
      </c>
      <c r="CN43" s="2">
        <f>L43/(L43+N43+P43)</f>
        <v>4.5645590815036217E-3</v>
      </c>
      <c r="CO43" s="2">
        <f t="shared" si="43"/>
        <v>3.0427350837303142</v>
      </c>
      <c r="CP43" s="1">
        <v>1</v>
      </c>
      <c r="CQ43" s="1">
        <v>0.7</v>
      </c>
      <c r="CR43" s="1">
        <v>1</v>
      </c>
      <c r="CS43" s="1">
        <v>31.8</v>
      </c>
      <c r="CT43" s="1">
        <v>31.6</v>
      </c>
      <c r="CU43" s="1">
        <v>2</v>
      </c>
      <c r="CV43" s="1">
        <v>6</v>
      </c>
      <c r="CW43" s="1">
        <v>2</v>
      </c>
      <c r="CX43" s="1">
        <v>0.27400000000000002</v>
      </c>
      <c r="CY43" s="1">
        <v>1</v>
      </c>
      <c r="CZ43" s="1">
        <v>1</v>
      </c>
      <c r="DA43" s="1">
        <v>65</v>
      </c>
      <c r="DB43" s="1">
        <v>0.77500000000000002</v>
      </c>
      <c r="DC43" s="1">
        <v>0</v>
      </c>
      <c r="DD43" s="1">
        <v>1</v>
      </c>
      <c r="DE43" s="1">
        <v>660</v>
      </c>
      <c r="DF43" s="1">
        <f t="shared" si="44"/>
        <v>1.5151515151515152E-2</v>
      </c>
      <c r="DG43" s="92">
        <v>20000</v>
      </c>
      <c r="DH43" s="1">
        <f t="shared" si="52"/>
        <v>0.27400000000000002</v>
      </c>
      <c r="DI43" s="1">
        <f t="shared" si="45"/>
        <v>0.26082066467755705</v>
      </c>
      <c r="DJ43" s="1">
        <v>1</v>
      </c>
      <c r="DK43" s="1">
        <f t="shared" si="46"/>
        <v>3.0427350837303142</v>
      </c>
      <c r="DL43" s="1">
        <f>S43*1166.6</f>
        <v>86.526677360008946</v>
      </c>
      <c r="DM43" s="1">
        <f>T43* 1833.1</f>
        <v>1688.7717498913332</v>
      </c>
      <c r="DN43" s="1">
        <v>0</v>
      </c>
      <c r="DO43" s="1">
        <f>DK43*DI43*DT43*DA43/100</f>
        <v>0.39978012418929237</v>
      </c>
      <c r="DP43" s="1">
        <f t="shared" si="48"/>
        <v>4.8099763950521818E-2</v>
      </c>
      <c r="DQ43" s="1">
        <f t="shared" si="49"/>
        <v>4.8099763950521819</v>
      </c>
      <c r="DR43" s="82">
        <f t="shared" si="11"/>
        <v>61.253337916698996</v>
      </c>
      <c r="DS43" s="82">
        <f t="shared" si="53"/>
        <v>5.8684649552450341E-2</v>
      </c>
      <c r="DT43" s="2">
        <f t="shared" si="51"/>
        <v>0.77500000000000002</v>
      </c>
    </row>
    <row r="44" spans="1:124" ht="13.5" customHeight="1" x14ac:dyDescent="0.35">
      <c r="A44" s="1" t="s">
        <v>36</v>
      </c>
      <c r="B44" s="1">
        <v>2</v>
      </c>
      <c r="C44" s="6">
        <v>42375</v>
      </c>
      <c r="D44" s="7">
        <v>0.16666666666666666</v>
      </c>
      <c r="E44" t="s">
        <v>332</v>
      </c>
      <c r="F44" t="s">
        <v>333</v>
      </c>
      <c r="G44" s="1" t="s">
        <v>233</v>
      </c>
      <c r="H44" s="9" t="s">
        <v>235</v>
      </c>
      <c r="I44" s="1" t="s">
        <v>234</v>
      </c>
      <c r="J44" s="1">
        <v>1</v>
      </c>
      <c r="K44" s="13">
        <v>550.47299999999996</v>
      </c>
      <c r="L44" s="13">
        <f t="shared" si="36"/>
        <v>548.5716666666666</v>
      </c>
      <c r="M44" s="14">
        <v>6003.33</v>
      </c>
      <c r="N44" s="14">
        <f t="shared" si="37"/>
        <v>6003.2349999999997</v>
      </c>
      <c r="O44" s="33">
        <v>33235</v>
      </c>
      <c r="P44" s="33">
        <f t="shared" si="38"/>
        <v>32826</v>
      </c>
      <c r="Q44" s="70">
        <f t="shared" si="39"/>
        <v>0.84539394093136266</v>
      </c>
      <c r="R44" s="37">
        <f t="shared" si="40"/>
        <v>1.3930985829412202E-2</v>
      </c>
      <c r="S44" s="38">
        <f t="shared" si="41"/>
        <v>0.15245224425061088</v>
      </c>
      <c r="T44" s="37">
        <f t="shared" si="42"/>
        <v>0.83361676991997702</v>
      </c>
      <c r="U44" s="8">
        <v>277.8</v>
      </c>
      <c r="V44" s="10">
        <v>617455</v>
      </c>
      <c r="W44" s="10">
        <v>42808</v>
      </c>
      <c r="X44" s="3">
        <v>2048423</v>
      </c>
      <c r="Y44" s="21">
        <v>33882.400000000001</v>
      </c>
      <c r="Z44" s="18">
        <v>3369.9</v>
      </c>
      <c r="AA44" s="22">
        <v>7992.5</v>
      </c>
      <c r="AB44" s="22">
        <v>597233.69999999995</v>
      </c>
      <c r="AC44" s="22">
        <v>30943.1</v>
      </c>
      <c r="AD44" s="22">
        <v>8199.4</v>
      </c>
      <c r="AE44" s="18">
        <v>1784.2</v>
      </c>
      <c r="AF44" s="21">
        <v>1395.3</v>
      </c>
      <c r="AG44" s="3">
        <v>31510671</v>
      </c>
      <c r="AH44" s="3">
        <v>289829984</v>
      </c>
      <c r="AI44" s="20">
        <v>384444444</v>
      </c>
      <c r="AJ44" s="3">
        <v>3817771</v>
      </c>
      <c r="AK44" s="3">
        <v>52621289</v>
      </c>
      <c r="AL44" s="3">
        <v>144390</v>
      </c>
      <c r="AM44" s="3">
        <v>404552</v>
      </c>
      <c r="AN44" s="3">
        <v>8991391</v>
      </c>
      <c r="AO44" s="3">
        <v>4227088</v>
      </c>
      <c r="AP44" s="3">
        <v>1477765</v>
      </c>
      <c r="AQ44" s="3">
        <v>1186869</v>
      </c>
      <c r="AR44" s="3">
        <v>55555</v>
      </c>
      <c r="AS44" s="3">
        <v>91615</v>
      </c>
      <c r="AT44" s="3">
        <v>15242413</v>
      </c>
      <c r="AU44" s="3">
        <v>7792197</v>
      </c>
      <c r="AV44" s="3">
        <v>19501924</v>
      </c>
      <c r="AW44" s="3">
        <v>1042313</v>
      </c>
      <c r="AX44" s="3">
        <v>527452</v>
      </c>
      <c r="AY44" s="3">
        <v>9437256</v>
      </c>
      <c r="AZ44" s="3">
        <v>2410306</v>
      </c>
      <c r="BA44" s="3">
        <v>981410</v>
      </c>
      <c r="BB44" s="3">
        <v>895597</v>
      </c>
      <c r="BC44" s="3">
        <v>3899636</v>
      </c>
      <c r="BD44" s="3">
        <v>669165</v>
      </c>
      <c r="BE44" s="3">
        <v>461718</v>
      </c>
      <c r="BF44" s="3">
        <v>669907</v>
      </c>
      <c r="BG44" s="3">
        <v>759335</v>
      </c>
      <c r="BH44" s="3">
        <v>869388</v>
      </c>
      <c r="BI44" s="3">
        <v>387415</v>
      </c>
      <c r="BJ44" s="3">
        <v>1288875</v>
      </c>
      <c r="BK44" s="3">
        <v>442021</v>
      </c>
      <c r="BL44" s="3">
        <v>245702</v>
      </c>
      <c r="BM44" s="3">
        <v>35391</v>
      </c>
      <c r="BN44" s="10">
        <v>20487</v>
      </c>
      <c r="BO44" s="12">
        <v>67175244</v>
      </c>
      <c r="BP44" s="3">
        <v>19803471</v>
      </c>
      <c r="BQ44" s="3">
        <v>1350213</v>
      </c>
      <c r="BR44" s="3">
        <v>3951163</v>
      </c>
      <c r="BS44" s="3">
        <v>809664</v>
      </c>
      <c r="BT44" s="3">
        <v>3168047</v>
      </c>
      <c r="BU44" s="3">
        <v>29515</v>
      </c>
      <c r="BV44" s="3">
        <v>31988</v>
      </c>
      <c r="BW44" s="3">
        <v>202157</v>
      </c>
      <c r="BX44" s="3">
        <v>82806</v>
      </c>
      <c r="BY44" s="3">
        <v>104357</v>
      </c>
      <c r="BZ44" s="3">
        <v>48429</v>
      </c>
      <c r="CA44" s="3">
        <v>398663</v>
      </c>
      <c r="CB44" s="3">
        <v>34332</v>
      </c>
      <c r="CC44" s="10">
        <v>4839</v>
      </c>
      <c r="CD44" s="3">
        <v>55943403</v>
      </c>
      <c r="CE44" s="3">
        <v>6463297</v>
      </c>
      <c r="CF44" s="3">
        <v>1780834</v>
      </c>
      <c r="CG44" s="3">
        <v>3805187</v>
      </c>
      <c r="CH44" s="3">
        <v>5002085</v>
      </c>
      <c r="CI44" s="3">
        <v>46326962</v>
      </c>
      <c r="CJ44" s="3">
        <v>2194021</v>
      </c>
      <c r="CK44" s="3">
        <v>3198429</v>
      </c>
      <c r="CL44" s="3">
        <v>1122075</v>
      </c>
      <c r="CM44" s="2">
        <f>P44/(P44+N44)</f>
        <v>0.84539394093136266</v>
      </c>
      <c r="CN44" s="2">
        <f>L44/(L44+N44+P44)</f>
        <v>1.3930985829412202E-2</v>
      </c>
      <c r="CO44" s="2">
        <f t="shared" si="43"/>
        <v>9.2863951538861738</v>
      </c>
      <c r="CP44" s="1">
        <v>2</v>
      </c>
      <c r="CQ44" s="1">
        <v>1.1000000000000001</v>
      </c>
      <c r="CR44" s="1">
        <v>0.92</v>
      </c>
      <c r="CS44" s="1">
        <v>57.1</v>
      </c>
      <c r="CT44" s="1">
        <v>27.2</v>
      </c>
      <c r="CU44" s="1">
        <v>2</v>
      </c>
      <c r="CV44" s="1">
        <v>5</v>
      </c>
      <c r="CW44" s="1">
        <v>2</v>
      </c>
      <c r="CX44" s="1">
        <v>0.39200000000000002</v>
      </c>
      <c r="CY44" s="1">
        <v>0.75</v>
      </c>
      <c r="CZ44" s="1">
        <v>1</v>
      </c>
      <c r="DA44" s="1">
        <v>80</v>
      </c>
      <c r="DB44" s="1">
        <v>0.84</v>
      </c>
      <c r="DC44" s="1">
        <v>0</v>
      </c>
      <c r="DD44" s="1">
        <v>1</v>
      </c>
      <c r="DE44" s="1">
        <v>180</v>
      </c>
      <c r="DF44" s="1">
        <f t="shared" si="44"/>
        <v>5.5555555555555552E-2</v>
      </c>
      <c r="DG44" s="92">
        <v>20000</v>
      </c>
      <c r="DH44" s="1">
        <f t="shared" si="52"/>
        <v>0.39200000000000002</v>
      </c>
      <c r="DI44" s="1">
        <f t="shared" si="45"/>
        <v>0.36020326364820648</v>
      </c>
      <c r="DJ44" s="1">
        <v>1</v>
      </c>
      <c r="DK44" s="1">
        <f t="shared" si="46"/>
        <v>9.2863951538861738</v>
      </c>
      <c r="DL44" s="1">
        <f>S44*1166.6</f>
        <v>177.85078814276264</v>
      </c>
      <c r="DM44" s="1">
        <f>T44* 1833.1</f>
        <v>1528.1029009403098</v>
      </c>
      <c r="DN44" s="1">
        <v>0</v>
      </c>
      <c r="DO44" s="1">
        <f>DK44*DI44*DT44*DA44/100</f>
        <v>2.2478331737948944</v>
      </c>
      <c r="DP44" s="1">
        <f t="shared" si="48"/>
        <v>8.1114123346412062E-2</v>
      </c>
      <c r="DQ44" s="1">
        <f>5.658+0.04651*CS44+3.151*10^-4*CS44^3*CT44^-1-0.1854*CT44^0.77</f>
        <v>8.1114123346412068</v>
      </c>
      <c r="DR44" s="82">
        <f t="shared" si="11"/>
        <v>336.18971273832602</v>
      </c>
      <c r="DS44" s="82">
        <f t="shared" si="53"/>
        <v>5.7632522183713064E-2</v>
      </c>
      <c r="DT44" s="2">
        <f t="shared" si="51"/>
        <v>0.84</v>
      </c>
    </row>
    <row r="45" spans="1:124" ht="13.5" hidden="1" customHeight="1" x14ac:dyDescent="0.25">
      <c r="A45" s="1" t="s">
        <v>52</v>
      </c>
      <c r="B45" s="27">
        <v>1</v>
      </c>
      <c r="C45" s="28">
        <v>42380</v>
      </c>
      <c r="D45" s="29">
        <v>0.63541666666666663</v>
      </c>
      <c r="E45" s="29"/>
      <c r="F45" s="29"/>
      <c r="G45" s="27"/>
      <c r="H45" s="27"/>
      <c r="I45" s="27" t="s">
        <v>78</v>
      </c>
      <c r="J45" s="27"/>
      <c r="K45" s="43">
        <v>95.557000000000002</v>
      </c>
      <c r="L45" s="43">
        <f t="shared" si="36"/>
        <v>93.655666666666676</v>
      </c>
      <c r="M45" s="44">
        <v>1249.6600000000001</v>
      </c>
      <c r="N45" s="44">
        <f t="shared" si="37"/>
        <v>1249.5650000000001</v>
      </c>
      <c r="O45" s="45">
        <v>6788</v>
      </c>
      <c r="P45" s="45">
        <f t="shared" si="38"/>
        <v>6379</v>
      </c>
      <c r="Q45" s="46">
        <f t="shared" si="39"/>
        <v>0.83619920653491187</v>
      </c>
      <c r="R45" s="37">
        <f t="shared" si="40"/>
        <v>1.2128074385511388E-2</v>
      </c>
      <c r="S45" s="38">
        <f t="shared" si="41"/>
        <v>0.16181420525753776</v>
      </c>
      <c r="T45" s="37">
        <f t="shared" si="42"/>
        <v>0.8260577203569508</v>
      </c>
      <c r="U45" s="8">
        <v>175</v>
      </c>
      <c r="V45" s="10">
        <v>212508</v>
      </c>
      <c r="W45" s="10">
        <v>29363</v>
      </c>
      <c r="X45" s="3">
        <v>802843</v>
      </c>
      <c r="Y45" s="21">
        <v>3840.4</v>
      </c>
      <c r="Z45" s="18">
        <v>1914.2</v>
      </c>
      <c r="AA45" s="22">
        <v>2230.9</v>
      </c>
      <c r="AB45" s="22">
        <v>4226</v>
      </c>
      <c r="AC45" s="22">
        <v>1450.7</v>
      </c>
      <c r="AD45" s="22">
        <v>545.1</v>
      </c>
      <c r="AE45" s="18">
        <v>158.80000000000001</v>
      </c>
      <c r="AF45" s="21">
        <v>207.2</v>
      </c>
      <c r="AG45" s="3">
        <v>11448769</v>
      </c>
      <c r="AH45" s="3">
        <v>11819610</v>
      </c>
      <c r="AI45" s="3">
        <v>12804083</v>
      </c>
      <c r="AJ45" s="3">
        <v>3860890</v>
      </c>
      <c r="AK45" s="3">
        <v>8451302</v>
      </c>
      <c r="AL45" s="3">
        <v>243935</v>
      </c>
      <c r="AM45" s="3">
        <v>842164</v>
      </c>
      <c r="AN45" s="3">
        <v>1485733</v>
      </c>
      <c r="AO45" s="3">
        <v>1429082</v>
      </c>
      <c r="AP45" s="3">
        <v>776863</v>
      </c>
      <c r="AQ45" s="3">
        <v>604919</v>
      </c>
      <c r="AR45" s="10">
        <v>76925</v>
      </c>
      <c r="AS45" s="3">
        <v>245203</v>
      </c>
      <c r="AT45" s="3">
        <v>936320</v>
      </c>
      <c r="AU45" s="3">
        <v>97328</v>
      </c>
      <c r="AV45" s="3">
        <v>309516</v>
      </c>
      <c r="AW45" s="3">
        <v>31362</v>
      </c>
      <c r="AX45" s="3">
        <v>25959</v>
      </c>
      <c r="AY45" s="3">
        <v>64722</v>
      </c>
      <c r="AZ45" s="3">
        <v>3517</v>
      </c>
      <c r="BA45" s="3">
        <v>25593</v>
      </c>
      <c r="BB45" s="3">
        <v>260057</v>
      </c>
      <c r="BC45" s="3">
        <v>367333</v>
      </c>
      <c r="BD45" s="3">
        <v>195609</v>
      </c>
      <c r="BE45" s="3">
        <v>101406</v>
      </c>
      <c r="BF45" s="3">
        <v>100324</v>
      </c>
      <c r="BG45" s="3">
        <v>207471</v>
      </c>
      <c r="BH45" s="3">
        <v>263326</v>
      </c>
      <c r="BI45" s="3">
        <v>151985</v>
      </c>
      <c r="BJ45" s="3">
        <v>229202</v>
      </c>
      <c r="BK45" s="3">
        <v>109995</v>
      </c>
      <c r="BL45" s="3">
        <v>104436</v>
      </c>
      <c r="BM45" s="3">
        <v>150504</v>
      </c>
      <c r="BN45" s="10">
        <v>42282</v>
      </c>
      <c r="BO45" s="12">
        <v>2389238</v>
      </c>
      <c r="BP45" s="3">
        <v>2279793</v>
      </c>
      <c r="BQ45" s="3">
        <v>114272</v>
      </c>
      <c r="BR45" s="3">
        <v>304973</v>
      </c>
      <c r="BS45" s="3">
        <v>122211</v>
      </c>
      <c r="BT45" s="3">
        <v>114778</v>
      </c>
      <c r="BU45" s="3">
        <v>6349</v>
      </c>
      <c r="BV45" s="3">
        <v>13696</v>
      </c>
      <c r="BW45" s="3">
        <v>25628</v>
      </c>
      <c r="BX45" s="3">
        <v>16519</v>
      </c>
      <c r="BY45" s="3">
        <v>18069</v>
      </c>
      <c r="BZ45" s="3">
        <v>16192</v>
      </c>
      <c r="CA45" s="3">
        <v>76393</v>
      </c>
      <c r="CB45" s="3">
        <v>24196</v>
      </c>
      <c r="CC45" s="10">
        <v>-999</v>
      </c>
      <c r="CD45" s="3">
        <v>14548533</v>
      </c>
      <c r="CE45" s="3">
        <v>3098238</v>
      </c>
      <c r="CF45" s="3">
        <v>1420583</v>
      </c>
      <c r="CG45" s="3">
        <v>257566</v>
      </c>
      <c r="CH45" s="3">
        <v>332358</v>
      </c>
      <c r="CI45" s="3">
        <v>100673841</v>
      </c>
      <c r="CJ45" s="3">
        <v>184918</v>
      </c>
      <c r="CK45" s="3">
        <v>2920299</v>
      </c>
      <c r="CL45" s="3">
        <v>2354801</v>
      </c>
      <c r="CM45" s="50">
        <f>P45/(P45+N45)</f>
        <v>0.83619920653491187</v>
      </c>
      <c r="CN45" s="2">
        <f>L45/(L45+N45+P45)</f>
        <v>1.2128074385511388E-2</v>
      </c>
      <c r="CO45" s="2">
        <f>CN45*633.3</f>
        <v>7.6807095083443615</v>
      </c>
      <c r="CP45" s="1">
        <v>1</v>
      </c>
      <c r="CQ45" s="2"/>
      <c r="CR45" s="2"/>
      <c r="CS45" s="2"/>
      <c r="CT45" s="2"/>
      <c r="CU45" s="2"/>
      <c r="CV45" s="2"/>
      <c r="CW45" s="2"/>
      <c r="CX45" s="2"/>
      <c r="DB45" s="2"/>
      <c r="DC45" s="2"/>
      <c r="DD45" s="2"/>
      <c r="DE45" s="2"/>
      <c r="DF45" s="2"/>
      <c r="DH45" s="2"/>
      <c r="DJ45" s="56">
        <v>0</v>
      </c>
      <c r="DK45" s="54">
        <f>CO45*1.0526</f>
        <v>8.0847148284832748</v>
      </c>
      <c r="DL45" s="2">
        <f>S45*1108.3</f>
        <v>179.3386836869291</v>
      </c>
      <c r="DM45" s="2">
        <f>T45* 1741.7</f>
        <v>1438.7447315457011</v>
      </c>
      <c r="DN45" s="1">
        <f>CX45-DH45</f>
        <v>0</v>
      </c>
      <c r="DO45" s="1">
        <f>DK45*DI45*DB45*DA45/100</f>
        <v>0</v>
      </c>
      <c r="DP45" s="62"/>
      <c r="DQ45" s="1"/>
    </row>
    <row r="46" spans="1:124" ht="14" hidden="1" customHeight="1" x14ac:dyDescent="0.25">
      <c r="A46" s="1" t="s">
        <v>53</v>
      </c>
      <c r="K46" s="13"/>
      <c r="L46" s="13"/>
      <c r="M46" s="14"/>
      <c r="N46" s="14"/>
      <c r="O46" s="33"/>
      <c r="P46" s="5"/>
      <c r="Q46" s="37"/>
      <c r="R46" s="37"/>
      <c r="S46" s="38"/>
      <c r="T46" s="37"/>
      <c r="U46" s="8">
        <v>0.6</v>
      </c>
      <c r="V46" s="3">
        <v>2697</v>
      </c>
      <c r="W46" s="3">
        <v>1</v>
      </c>
      <c r="X46" s="3">
        <v>644</v>
      </c>
      <c r="Y46" s="21">
        <v>8.8000000000000007</v>
      </c>
      <c r="Z46" s="18">
        <v>0.4</v>
      </c>
      <c r="AA46" s="21">
        <v>7.2</v>
      </c>
      <c r="AB46" s="21">
        <v>59.2</v>
      </c>
      <c r="AC46" s="21">
        <v>12.7</v>
      </c>
      <c r="AD46" s="21">
        <v>61.5</v>
      </c>
      <c r="AE46" s="18">
        <v>5.0999999999999996</v>
      </c>
      <c r="AF46" s="21">
        <v>23</v>
      </c>
      <c r="AG46" s="3">
        <v>1166</v>
      </c>
      <c r="AH46" s="3">
        <v>407</v>
      </c>
      <c r="AI46" s="3">
        <v>561</v>
      </c>
      <c r="AJ46" s="3">
        <v>200</v>
      </c>
      <c r="AK46" s="3">
        <v>157</v>
      </c>
      <c r="AL46" s="3">
        <v>89</v>
      </c>
      <c r="AM46" s="3">
        <v>162</v>
      </c>
      <c r="AN46" s="3">
        <v>30</v>
      </c>
      <c r="AO46" s="3">
        <v>4189</v>
      </c>
      <c r="AP46" s="3">
        <v>40</v>
      </c>
      <c r="AQ46" s="3">
        <v>45</v>
      </c>
      <c r="AR46" s="3">
        <v>87</v>
      </c>
      <c r="AS46" s="3">
        <v>71</v>
      </c>
      <c r="AT46" s="3">
        <v>-888</v>
      </c>
      <c r="AU46" s="3">
        <v>-888</v>
      </c>
      <c r="AV46" s="3">
        <v>478</v>
      </c>
      <c r="AW46" s="3">
        <v>-888</v>
      </c>
      <c r="AX46" s="3">
        <v>-888</v>
      </c>
      <c r="AY46" s="3">
        <v>-888</v>
      </c>
      <c r="AZ46" s="3">
        <v>-888</v>
      </c>
      <c r="BA46" s="3">
        <v>-888</v>
      </c>
      <c r="BB46" s="3">
        <v>-888</v>
      </c>
      <c r="BC46" s="3">
        <v>364</v>
      </c>
      <c r="BD46" s="3">
        <v>-888</v>
      </c>
      <c r="BE46" s="3">
        <v>-888</v>
      </c>
      <c r="BF46" s="3">
        <v>-888</v>
      </c>
      <c r="BG46" s="3">
        <v>-888</v>
      </c>
      <c r="BH46" s="3">
        <v>-888</v>
      </c>
      <c r="BI46" s="3">
        <v>-888</v>
      </c>
      <c r="BJ46" s="3">
        <v>-888</v>
      </c>
      <c r="BK46" s="3">
        <v>-888</v>
      </c>
      <c r="BL46" s="3">
        <v>-888</v>
      </c>
      <c r="BM46" s="3">
        <v>-888</v>
      </c>
      <c r="BN46" s="3">
        <v>21</v>
      </c>
      <c r="BO46" s="12">
        <v>164</v>
      </c>
      <c r="BP46" s="3">
        <v>253</v>
      </c>
      <c r="BQ46" s="3">
        <v>-888</v>
      </c>
      <c r="BR46" s="3">
        <v>-888</v>
      </c>
      <c r="BS46" s="3">
        <v>-888</v>
      </c>
      <c r="BT46" s="3">
        <v>-888</v>
      </c>
      <c r="BU46" s="3">
        <v>-888</v>
      </c>
      <c r="BV46" s="3">
        <v>-888</v>
      </c>
      <c r="BW46" s="3">
        <v>-888</v>
      </c>
      <c r="BX46" s="3">
        <v>-888</v>
      </c>
      <c r="BY46" s="3">
        <v>-888</v>
      </c>
      <c r="BZ46" s="3">
        <v>54</v>
      </c>
      <c r="CA46" s="3">
        <v>218</v>
      </c>
      <c r="CB46" s="3">
        <v>986</v>
      </c>
      <c r="CC46" s="3">
        <v>-888</v>
      </c>
      <c r="CD46" s="3">
        <v>2869</v>
      </c>
      <c r="CE46" s="3">
        <v>1560</v>
      </c>
      <c r="CF46" s="3">
        <v>373</v>
      </c>
      <c r="CG46" s="3">
        <v>106</v>
      </c>
      <c r="CH46" s="3">
        <v>133</v>
      </c>
      <c r="CI46" s="3">
        <v>1952</v>
      </c>
      <c r="CJ46" s="3">
        <v>177</v>
      </c>
      <c r="CK46" s="3">
        <v>47</v>
      </c>
      <c r="CL46" s="3">
        <v>63</v>
      </c>
      <c r="CP46" s="2"/>
      <c r="CQ46" s="2"/>
      <c r="CR46" s="2"/>
      <c r="CS46" s="2"/>
      <c r="CT46" s="2"/>
      <c r="CU46" s="2"/>
      <c r="CV46" s="2"/>
      <c r="CW46" s="2"/>
      <c r="CX46" s="2"/>
      <c r="DB46" s="2"/>
      <c r="DC46" s="2"/>
      <c r="DD46" s="2"/>
      <c r="DE46" s="2"/>
      <c r="DF46" s="2"/>
      <c r="DH46" s="2"/>
      <c r="DJ46" s="2"/>
      <c r="DO46" s="1">
        <f>DK46*DI46*DB46*DA46/100</f>
        <v>0</v>
      </c>
      <c r="DP46" s="2"/>
    </row>
    <row r="47" spans="1:124" ht="15.5" hidden="1" customHeight="1" x14ac:dyDescent="0.25">
      <c r="A47" s="1" t="s">
        <v>46</v>
      </c>
      <c r="K47" s="13"/>
      <c r="L47" s="13"/>
      <c r="M47" s="14"/>
      <c r="N47" s="14"/>
      <c r="O47" s="33"/>
      <c r="P47" s="5"/>
      <c r="Q47" s="37"/>
      <c r="R47" s="37"/>
      <c r="S47" s="38"/>
      <c r="T47" s="37"/>
      <c r="U47" s="8">
        <v>175.2</v>
      </c>
      <c r="V47" s="10">
        <v>99358</v>
      </c>
      <c r="W47" s="10">
        <v>3949</v>
      </c>
      <c r="X47" s="3">
        <v>616448</v>
      </c>
      <c r="Y47" s="21">
        <v>9099.7999999999993</v>
      </c>
      <c r="Z47" s="18">
        <v>927.3</v>
      </c>
      <c r="AA47" s="22">
        <v>3908.1</v>
      </c>
      <c r="AB47" s="22">
        <v>4193553.8</v>
      </c>
      <c r="AC47" s="22">
        <v>299284.5</v>
      </c>
      <c r="AD47" s="22">
        <v>46470.7</v>
      </c>
      <c r="AE47" s="18">
        <v>18479.8</v>
      </c>
      <c r="AF47" s="21">
        <v>3820.2</v>
      </c>
      <c r="AG47" s="3">
        <v>12204808</v>
      </c>
      <c r="AH47" s="3">
        <v>79369291</v>
      </c>
      <c r="AI47" s="3">
        <v>54436396</v>
      </c>
      <c r="AJ47" s="3">
        <v>1651396</v>
      </c>
      <c r="AK47" s="3">
        <v>15642041</v>
      </c>
      <c r="AL47" s="3">
        <v>68567</v>
      </c>
      <c r="AM47" s="3">
        <v>228740</v>
      </c>
      <c r="AN47" s="3">
        <v>2906786</v>
      </c>
      <c r="AO47" s="3">
        <v>934106</v>
      </c>
      <c r="AP47" s="3">
        <v>540477</v>
      </c>
      <c r="AQ47" s="3">
        <v>373201</v>
      </c>
      <c r="AR47" s="3">
        <v>18006</v>
      </c>
      <c r="AS47" s="3">
        <v>55638</v>
      </c>
      <c r="AT47" s="3">
        <v>1111111</v>
      </c>
      <c r="AU47" s="3">
        <v>1254124</v>
      </c>
      <c r="AV47" s="3">
        <v>3558763</v>
      </c>
      <c r="AW47" s="3">
        <v>276734</v>
      </c>
      <c r="AX47" s="3">
        <v>146882</v>
      </c>
      <c r="AY47" s="3">
        <v>359613</v>
      </c>
      <c r="AZ47" s="3">
        <v>204658</v>
      </c>
      <c r="BA47" s="3">
        <v>90053</v>
      </c>
      <c r="BB47" s="3">
        <v>324623</v>
      </c>
      <c r="BC47" s="3">
        <v>-999</v>
      </c>
      <c r="BD47" s="3">
        <v>273376</v>
      </c>
      <c r="BE47" s="3">
        <v>132768</v>
      </c>
      <c r="BF47" s="3">
        <v>236680</v>
      </c>
      <c r="BG47" s="3">
        <v>163926</v>
      </c>
      <c r="BH47" s="3">
        <v>94192</v>
      </c>
      <c r="BI47" s="3">
        <v>125142</v>
      </c>
      <c r="BJ47" s="3">
        <v>466981</v>
      </c>
      <c r="BK47" s="3">
        <v>170929</v>
      </c>
      <c r="BL47" s="3">
        <v>80249</v>
      </c>
      <c r="BM47" s="3">
        <v>30528</v>
      </c>
      <c r="BN47" s="10">
        <v>11617</v>
      </c>
      <c r="BO47" s="12">
        <v>12746706</v>
      </c>
      <c r="BP47" s="3">
        <v>4791630</v>
      </c>
      <c r="BQ47" s="3">
        <v>327565</v>
      </c>
      <c r="BR47" s="3">
        <v>551928</v>
      </c>
      <c r="BS47" s="3">
        <v>183868</v>
      </c>
      <c r="BT47" s="3">
        <v>-999</v>
      </c>
      <c r="BU47" s="3">
        <v>16091</v>
      </c>
      <c r="BV47" s="3">
        <v>11705</v>
      </c>
      <c r="BW47" s="3">
        <v>37607</v>
      </c>
      <c r="BX47" s="3">
        <v>26172</v>
      </c>
      <c r="BY47" s="3">
        <v>21256</v>
      </c>
      <c r="BZ47" s="3">
        <v>9423</v>
      </c>
      <c r="CA47" s="3">
        <v>33703</v>
      </c>
      <c r="CB47" s="3">
        <v>19307</v>
      </c>
      <c r="CC47" s="10">
        <v>-999</v>
      </c>
      <c r="CD47" s="3">
        <v>22121597</v>
      </c>
      <c r="CE47" s="3">
        <v>2937079</v>
      </c>
      <c r="CF47" s="3">
        <v>577635</v>
      </c>
      <c r="CG47" s="3">
        <v>501464</v>
      </c>
      <c r="CH47" s="3">
        <v>702926</v>
      </c>
      <c r="CI47" s="3">
        <v>9190263</v>
      </c>
      <c r="CJ47" s="3">
        <v>261347</v>
      </c>
      <c r="CK47" s="3">
        <v>1593463</v>
      </c>
      <c r="CL47" s="3">
        <v>317603</v>
      </c>
      <c r="CP47" s="2"/>
      <c r="CQ47" s="2"/>
      <c r="CR47" s="2"/>
      <c r="CS47" s="2"/>
      <c r="CT47" s="2"/>
      <c r="CU47" s="2"/>
      <c r="CV47" s="2"/>
      <c r="CW47" s="2"/>
      <c r="CX47" s="2"/>
      <c r="DB47" s="2"/>
      <c r="DC47" s="2"/>
      <c r="DD47" s="2"/>
      <c r="DE47" s="2"/>
      <c r="DF47" s="2"/>
      <c r="DH47" s="2"/>
      <c r="DJ47" s="2"/>
      <c r="DO47" s="1">
        <f>DK47*DI47*DB47*DA47/100</f>
        <v>0</v>
      </c>
      <c r="DP47" s="2"/>
    </row>
    <row r="48" spans="1:124" ht="14.5" hidden="1" customHeight="1" x14ac:dyDescent="0.25">
      <c r="C48" s="86"/>
      <c r="G48" s="35"/>
      <c r="H48" s="35"/>
      <c r="I48" s="35"/>
      <c r="J48" s="35"/>
      <c r="R48" s="36"/>
      <c r="S48" s="36"/>
      <c r="T48" s="36"/>
      <c r="U48" s="2"/>
      <c r="DJ48" s="2"/>
      <c r="DO48" s="1">
        <f>DK48*DI48*DB48*DA48/100</f>
        <v>0</v>
      </c>
    </row>
    <row r="49" spans="2:119" ht="17" hidden="1" customHeight="1" x14ac:dyDescent="0.25">
      <c r="C49" s="35"/>
      <c r="G49" s="90"/>
      <c r="H49" s="90"/>
      <c r="I49" s="90"/>
      <c r="J49" s="90"/>
      <c r="R49" s="13"/>
      <c r="S49" s="13"/>
      <c r="T49" s="13"/>
      <c r="U49" s="2"/>
      <c r="CL49" s="36"/>
      <c r="DJ49" s="2"/>
      <c r="DO49" s="1">
        <f>DK49*DI49*DB49*DA49/100</f>
        <v>0</v>
      </c>
    </row>
    <row r="50" spans="2:119" x14ac:dyDescent="0.25">
      <c r="C50" s="35"/>
      <c r="G50" s="90"/>
      <c r="H50" s="90"/>
      <c r="I50" s="90"/>
      <c r="J50" s="90"/>
      <c r="N50" s="31"/>
      <c r="P50" s="35"/>
      <c r="U50" s="2"/>
      <c r="CL50" s="36"/>
    </row>
    <row r="51" spans="2:119" ht="12.5" customHeight="1" x14ac:dyDescent="0.25">
      <c r="C51" s="35"/>
      <c r="G51" s="90"/>
      <c r="H51" s="90"/>
      <c r="I51" s="90"/>
      <c r="J51" s="90"/>
      <c r="N51" s="31"/>
      <c r="P51" s="35"/>
      <c r="R51" s="2"/>
      <c r="S51" s="2"/>
      <c r="T51" s="2"/>
      <c r="U51" s="2"/>
      <c r="CL51" s="36"/>
    </row>
    <row r="52" spans="2:119" ht="12.5" customHeight="1" x14ac:dyDescent="0.25">
      <c r="C52" s="86"/>
      <c r="G52" s="90"/>
      <c r="H52" s="90"/>
      <c r="I52" s="90"/>
      <c r="J52" s="90"/>
      <c r="N52" s="31"/>
      <c r="P52" s="35"/>
      <c r="R52" s="2"/>
      <c r="S52" s="2"/>
      <c r="T52" s="2"/>
      <c r="U52" s="2"/>
    </row>
    <row r="53" spans="2:119" ht="10.5" customHeight="1" x14ac:dyDescent="0.25">
      <c r="DG53" s="1"/>
    </row>
    <row r="54" spans="2:119" x14ac:dyDescent="0.25">
      <c r="N54" s="31"/>
      <c r="P54" s="35"/>
    </row>
    <row r="55" spans="2:119" x14ac:dyDescent="0.25">
      <c r="C55" s="35"/>
      <c r="D55" s="49"/>
      <c r="E55" s="49"/>
      <c r="F55" s="49"/>
      <c r="G55" s="35"/>
      <c r="H55" s="35"/>
      <c r="I55" s="86"/>
      <c r="J55" s="35"/>
    </row>
    <row r="56" spans="2:119" x14ac:dyDescent="0.25">
      <c r="C56" s="87"/>
      <c r="G56" s="70"/>
      <c r="H56" s="70"/>
      <c r="I56" s="70"/>
      <c r="J56" s="90"/>
    </row>
    <row r="57" spans="2:119" x14ac:dyDescent="0.25">
      <c r="C57" s="87"/>
      <c r="G57" s="70"/>
      <c r="H57" s="70"/>
      <c r="I57" s="70"/>
      <c r="J57" s="90"/>
    </row>
    <row r="58" spans="2:119" x14ac:dyDescent="0.25">
      <c r="C58" s="87"/>
      <c r="G58" s="70"/>
      <c r="H58" s="70"/>
      <c r="I58" s="70"/>
      <c r="J58" s="90"/>
    </row>
    <row r="59" spans="2:119" x14ac:dyDescent="0.25">
      <c r="C59" s="87"/>
      <c r="G59" s="70"/>
      <c r="H59" s="70"/>
      <c r="I59" s="70"/>
      <c r="J59" s="90"/>
      <c r="Q59" s="39"/>
      <c r="R59" s="39"/>
      <c r="S59" s="39"/>
      <c r="T59" s="39"/>
    </row>
    <row r="60" spans="2:119" x14ac:dyDescent="0.25">
      <c r="C60" s="88"/>
    </row>
    <row r="61" spans="2:119" x14ac:dyDescent="0.25">
      <c r="B61" s="89"/>
      <c r="C61" s="88"/>
    </row>
    <row r="62" spans="2:119" x14ac:dyDescent="0.25">
      <c r="C62" s="88"/>
    </row>
    <row r="63" spans="2:119" x14ac:dyDescent="0.25">
      <c r="C63" s="88"/>
    </row>
    <row r="64" spans="2:119" x14ac:dyDescent="0.25">
      <c r="C64" s="49"/>
      <c r="D64" s="49"/>
      <c r="E64" s="49"/>
      <c r="F64" s="49"/>
      <c r="G64" s="9"/>
      <c r="H64" s="9"/>
      <c r="I64" s="49"/>
    </row>
    <row r="65" spans="3:14" x14ac:dyDescent="0.25">
      <c r="C65" s="49"/>
      <c r="D65" s="49"/>
      <c r="E65" s="49"/>
      <c r="F65" s="49"/>
      <c r="G65" s="9"/>
      <c r="I65" s="49"/>
      <c r="J65" s="9"/>
    </row>
    <row r="66" spans="3:14" x14ac:dyDescent="0.25">
      <c r="C66" s="9"/>
      <c r="D66" s="49"/>
      <c r="E66" s="49"/>
      <c r="F66" s="49"/>
      <c r="G66" s="9"/>
      <c r="I66" s="49"/>
      <c r="J66" s="9"/>
    </row>
    <row r="67" spans="3:14" x14ac:dyDescent="0.25">
      <c r="C67" s="9"/>
      <c r="D67" s="49"/>
      <c r="E67" s="49"/>
      <c r="F67" s="49"/>
      <c r="G67" s="9"/>
      <c r="I67" s="49"/>
      <c r="J67" s="9"/>
    </row>
    <row r="68" spans="3:14" x14ac:dyDescent="0.25">
      <c r="C68" s="9"/>
      <c r="D68" s="49"/>
      <c r="E68" s="49"/>
      <c r="F68" s="49"/>
      <c r="G68" s="9"/>
      <c r="I68" s="49"/>
      <c r="J68" s="60"/>
    </row>
    <row r="69" spans="3:14" x14ac:dyDescent="0.25">
      <c r="C69" s="9"/>
      <c r="D69" s="49"/>
      <c r="E69" s="49"/>
      <c r="F69" s="49"/>
      <c r="G69" s="9"/>
      <c r="I69" s="49"/>
      <c r="J69" s="60"/>
    </row>
    <row r="70" spans="3:14" x14ac:dyDescent="0.25">
      <c r="C70" s="9"/>
    </row>
    <row r="72" spans="3:14" x14ac:dyDescent="0.25">
      <c r="G72" s="49"/>
    </row>
    <row r="75" spans="3:14" x14ac:dyDescent="0.25">
      <c r="G75" s="52"/>
      <c r="H75" s="52"/>
    </row>
    <row r="76" spans="3:14" x14ac:dyDescent="0.25">
      <c r="G76" s="52"/>
      <c r="H76" s="52"/>
      <c r="N76" s="51"/>
    </row>
    <row r="77" spans="3:14" x14ac:dyDescent="0.25">
      <c r="G77" s="52"/>
      <c r="H77" s="52"/>
    </row>
    <row r="78" spans="3:14" x14ac:dyDescent="0.25">
      <c r="G78" s="52"/>
      <c r="H78" s="52"/>
    </row>
    <row r="79" spans="3:14" x14ac:dyDescent="0.25">
      <c r="G79" s="52"/>
      <c r="H79" s="52"/>
    </row>
    <row r="80" spans="3:14" x14ac:dyDescent="0.25">
      <c r="G80" s="52"/>
      <c r="H80" s="52"/>
    </row>
    <row r="81" spans="3:9" x14ac:dyDescent="0.25">
      <c r="C81" s="1" t="s">
        <v>206</v>
      </c>
      <c r="G81" s="52">
        <v>0.85599999999999998</v>
      </c>
      <c r="H81" s="52">
        <v>0.93899999999999995</v>
      </c>
      <c r="I81" s="1" t="s">
        <v>252</v>
      </c>
    </row>
    <row r="82" spans="3:9" x14ac:dyDescent="0.25">
      <c r="C82" s="1" t="s">
        <v>207</v>
      </c>
      <c r="G82" s="52">
        <v>0.03</v>
      </c>
      <c r="H82" s="52"/>
    </row>
    <row r="83" spans="3:9" x14ac:dyDescent="0.25">
      <c r="C83" s="1" t="s">
        <v>200</v>
      </c>
      <c r="G83" s="52">
        <v>310.89999999999998</v>
      </c>
      <c r="H83" s="52"/>
    </row>
    <row r="84" spans="3:9" x14ac:dyDescent="0.25">
      <c r="C84" s="1" t="s">
        <v>201</v>
      </c>
      <c r="G84" s="52">
        <v>0.8</v>
      </c>
      <c r="H84" s="52"/>
    </row>
    <row r="85" spans="3:9" x14ac:dyDescent="0.25">
      <c r="C85" s="1" t="s">
        <v>202</v>
      </c>
      <c r="G85" s="52">
        <v>5.8000000000000003E-2</v>
      </c>
      <c r="H85" s="52"/>
    </row>
    <row r="86" spans="3:9" x14ac:dyDescent="0.25">
      <c r="C86" s="1" t="s">
        <v>203</v>
      </c>
      <c r="G86" s="52">
        <v>98.1</v>
      </c>
      <c r="H86" s="52"/>
    </row>
    <row r="87" spans="3:9" x14ac:dyDescent="0.25">
      <c r="C87" s="1" t="s">
        <v>204</v>
      </c>
      <c r="G87" s="52">
        <v>0.85</v>
      </c>
      <c r="H87" s="52"/>
    </row>
    <row r="88" spans="3:9" x14ac:dyDescent="0.25">
      <c r="C88" s="1" t="s">
        <v>205</v>
      </c>
      <c r="G88" s="52">
        <v>1.7500000000000002E-2</v>
      </c>
      <c r="H88" s="52"/>
    </row>
    <row r="89" spans="3:9" x14ac:dyDescent="0.25">
      <c r="G89" s="52"/>
      <c r="H89" s="52"/>
    </row>
    <row r="90" spans="3:9" ht="13" x14ac:dyDescent="0.3">
      <c r="C90" s="68" t="s">
        <v>247</v>
      </c>
      <c r="G90" s="69">
        <v>0.84099999999999997</v>
      </c>
      <c r="H90" s="52"/>
    </row>
    <row r="91" spans="3:9" x14ac:dyDescent="0.25">
      <c r="C91" s="1" t="s">
        <v>248</v>
      </c>
      <c r="G91" s="1">
        <v>0.82099999999999995</v>
      </c>
    </row>
    <row r="92" spans="3:9" x14ac:dyDescent="0.25">
      <c r="C92" s="1" t="s">
        <v>249</v>
      </c>
      <c r="G92" s="1">
        <v>0.85499999999999998</v>
      </c>
    </row>
    <row r="93" spans="3:9" x14ac:dyDescent="0.25">
      <c r="C93" s="1" t="s">
        <v>250</v>
      </c>
      <c r="G93" s="1">
        <v>1.27</v>
      </c>
    </row>
    <row r="94" spans="3:9" x14ac:dyDescent="0.25">
      <c r="C94" s="1" t="s">
        <v>251</v>
      </c>
      <c r="G94" s="1">
        <v>0.70299999999999996</v>
      </c>
    </row>
  </sheetData>
  <autoFilter ref="A1:DT49">
    <filterColumn colId="113">
      <filters>
        <filter val="1"/>
      </filters>
    </filterColumn>
  </autoFilter>
  <sortState ref="A3:DT1597">
    <sortCondition ref="I2:I47"/>
    <sortCondition ref="C2:C47"/>
    <sortCondition ref="D2:D47"/>
  </sortState>
  <conditionalFormatting sqref="CQ4:DD4 CQ30:DE31 CQ35:DE38 CQ40:DE41 DG40:DG41 DG35:DG38 DG30:DG31">
    <cfRule type="notContainsErrors" priority="20">
      <formula>NOT(ISERROR(CQ4))</formula>
    </cfRule>
  </conditionalFormatting>
  <conditionalFormatting sqref="DE4 DG4">
    <cfRule type="notContainsErrors" priority="19">
      <formula>NOT(ISERROR(DE4))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Paul Laris</cp:lastModifiedBy>
  <dcterms:created xsi:type="dcterms:W3CDTF">2016-02-17T20:28:32Z</dcterms:created>
  <dcterms:modified xsi:type="dcterms:W3CDTF">2022-01-08T18:18:08Z</dcterms:modified>
</cp:coreProperties>
</file>